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ТСН-2001'!$40:$40</definedName>
    <definedName name="_xlnm.Print_Titles" localSheetId="0">'Смета по ТСН-2001'!$31:$31</definedName>
    <definedName name="_xlnm.Print_Area" localSheetId="1">'Акт КС-2 по ТСН-2001'!$A$1:$L$183</definedName>
    <definedName name="_xlnm.Print_Area" localSheetId="0">'Смета по ТСН-2001'!$A$1:$K$175</definedName>
  </definedNames>
  <calcPr calcId="145621"/>
</workbook>
</file>

<file path=xl/calcChain.xml><?xml version="1.0" encoding="utf-8"?>
<calcChain xmlns="http://schemas.openxmlformats.org/spreadsheetml/2006/main">
  <c r="A11" i="5" l="1"/>
  <c r="A1" i="7"/>
  <c r="I180" i="6"/>
  <c r="I177" i="6"/>
  <c r="D180" i="6"/>
  <c r="D177" i="6"/>
  <c r="K174" i="6"/>
  <c r="D174" i="6"/>
  <c r="K173" i="6"/>
  <c r="D173" i="6"/>
  <c r="K172" i="6"/>
  <c r="D172" i="6"/>
  <c r="I171" i="6"/>
  <c r="K171" i="6"/>
  <c r="I170" i="6"/>
  <c r="K170" i="6"/>
  <c r="I167" i="6"/>
  <c r="K167" i="6"/>
  <c r="I166" i="6"/>
  <c r="K166" i="6"/>
  <c r="AL165" i="6"/>
  <c r="A165" i="6"/>
  <c r="I163" i="6"/>
  <c r="K163" i="6"/>
  <c r="I162" i="6"/>
  <c r="K162" i="6"/>
  <c r="A161" i="6"/>
  <c r="AA159" i="6"/>
  <c r="Z159" i="6"/>
  <c r="X159" i="6"/>
  <c r="L158" i="6"/>
  <c r="K159" i="6" s="1"/>
  <c r="K158" i="6"/>
  <c r="J158" i="6"/>
  <c r="I159" i="6" s="1"/>
  <c r="I158" i="6"/>
  <c r="H158" i="6"/>
  <c r="G158" i="6"/>
  <c r="V158" i="6"/>
  <c r="T158" i="6"/>
  <c r="R158" i="6"/>
  <c r="U158" i="6"/>
  <c r="S158" i="6"/>
  <c r="Q158" i="6"/>
  <c r="F158" i="6"/>
  <c r="E158" i="6"/>
  <c r="C158" i="6"/>
  <c r="B158" i="6"/>
  <c r="AA157" i="6"/>
  <c r="Z157" i="6"/>
  <c r="Y157" i="6"/>
  <c r="L156" i="6"/>
  <c r="K157" i="6" s="1"/>
  <c r="K156" i="6"/>
  <c r="J156" i="6"/>
  <c r="X157" i="6" s="1"/>
  <c r="I156" i="6"/>
  <c r="H156" i="6"/>
  <c r="G156" i="6"/>
  <c r="V156" i="6"/>
  <c r="T156" i="6"/>
  <c r="R156" i="6"/>
  <c r="U156" i="6"/>
  <c r="S156" i="6"/>
  <c r="Q156" i="6"/>
  <c r="F156" i="6"/>
  <c r="E156" i="6"/>
  <c r="C156" i="6"/>
  <c r="B156" i="6"/>
  <c r="A155" i="6"/>
  <c r="I153" i="6"/>
  <c r="K153" i="6"/>
  <c r="I152" i="6"/>
  <c r="K152" i="6"/>
  <c r="A151" i="6"/>
  <c r="Z149" i="6"/>
  <c r="Y149" i="6"/>
  <c r="X149" i="6"/>
  <c r="J148" i="6"/>
  <c r="I148" i="6"/>
  <c r="H148" i="6"/>
  <c r="F148" i="6"/>
  <c r="K147" i="6"/>
  <c r="J147" i="6"/>
  <c r="F147" i="6"/>
  <c r="L146" i="6"/>
  <c r="K146" i="6"/>
  <c r="F146" i="6"/>
  <c r="L145" i="6"/>
  <c r="K145" i="6"/>
  <c r="W145" i="6"/>
  <c r="J145" i="6"/>
  <c r="I149" i="6" s="1"/>
  <c r="I145" i="6"/>
  <c r="H145" i="6"/>
  <c r="G145" i="6"/>
  <c r="V144" i="6"/>
  <c r="T144" i="6"/>
  <c r="L147" i="6" s="1"/>
  <c r="R144" i="6"/>
  <c r="U144" i="6"/>
  <c r="S144" i="6"/>
  <c r="Q144" i="6"/>
  <c r="J146" i="6" s="1"/>
  <c r="F144" i="6"/>
  <c r="E144" i="6"/>
  <c r="C144" i="6"/>
  <c r="B144" i="6"/>
  <c r="Z143" i="6"/>
  <c r="Y143" i="6"/>
  <c r="X143" i="6"/>
  <c r="J142" i="6"/>
  <c r="I142" i="6"/>
  <c r="H142" i="6"/>
  <c r="F142" i="6"/>
  <c r="K141" i="6"/>
  <c r="F141" i="6"/>
  <c r="K140" i="6"/>
  <c r="F140" i="6"/>
  <c r="L139" i="6"/>
  <c r="K139" i="6"/>
  <c r="J139" i="6"/>
  <c r="I139" i="6"/>
  <c r="H139" i="6"/>
  <c r="G139" i="6"/>
  <c r="V138" i="6"/>
  <c r="T138" i="6"/>
  <c r="L141" i="6" s="1"/>
  <c r="R138" i="6"/>
  <c r="L140" i="6" s="1"/>
  <c r="U138" i="6"/>
  <c r="S138" i="6"/>
  <c r="J141" i="6" s="1"/>
  <c r="Q138" i="6"/>
  <c r="J140" i="6" s="1"/>
  <c r="F138" i="6"/>
  <c r="E138" i="6"/>
  <c r="C138" i="6"/>
  <c r="B138" i="6"/>
  <c r="Z137" i="6"/>
  <c r="Y137" i="6"/>
  <c r="X137" i="6"/>
  <c r="J136" i="6"/>
  <c r="I136" i="6"/>
  <c r="H136" i="6"/>
  <c r="F136" i="6"/>
  <c r="K135" i="6"/>
  <c r="J135" i="6"/>
  <c r="F135" i="6"/>
  <c r="L134" i="6"/>
  <c r="K134" i="6"/>
  <c r="F134" i="6"/>
  <c r="L133" i="6"/>
  <c r="K133" i="6"/>
  <c r="W133" i="6"/>
  <c r="J133" i="6"/>
  <c r="I133" i="6"/>
  <c r="H133" i="6"/>
  <c r="G133" i="6"/>
  <c r="V132" i="6"/>
  <c r="T132" i="6"/>
  <c r="L135" i="6" s="1"/>
  <c r="R132" i="6"/>
  <c r="U132" i="6"/>
  <c r="S132" i="6"/>
  <c r="Q132" i="6"/>
  <c r="J134" i="6" s="1"/>
  <c r="F132" i="6"/>
  <c r="E132" i="6"/>
  <c r="C132" i="6"/>
  <c r="B132" i="6"/>
  <c r="Z131" i="6"/>
  <c r="Y131" i="6"/>
  <c r="X131" i="6"/>
  <c r="J130" i="6"/>
  <c r="I130" i="6"/>
  <c r="H130" i="6"/>
  <c r="F130" i="6"/>
  <c r="K129" i="6"/>
  <c r="F129" i="6"/>
  <c r="K128" i="6"/>
  <c r="F128" i="6"/>
  <c r="L127" i="6"/>
  <c r="K127" i="6"/>
  <c r="J127" i="6"/>
  <c r="I127" i="6"/>
  <c r="H127" i="6"/>
  <c r="G127" i="6"/>
  <c r="V126" i="6"/>
  <c r="T126" i="6"/>
  <c r="L129" i="6" s="1"/>
  <c r="R126" i="6"/>
  <c r="L128" i="6" s="1"/>
  <c r="K131" i="6" s="1"/>
  <c r="U126" i="6"/>
  <c r="S126" i="6"/>
  <c r="J129" i="6" s="1"/>
  <c r="Q126" i="6"/>
  <c r="J128" i="6" s="1"/>
  <c r="F126" i="6"/>
  <c r="E126" i="6"/>
  <c r="C126" i="6"/>
  <c r="B126" i="6"/>
  <c r="Z125" i="6"/>
  <c r="Y125" i="6"/>
  <c r="X125" i="6"/>
  <c r="J124" i="6"/>
  <c r="I124" i="6"/>
  <c r="H124" i="6"/>
  <c r="F124" i="6"/>
  <c r="K123" i="6"/>
  <c r="J123" i="6"/>
  <c r="F123" i="6"/>
  <c r="L122" i="6"/>
  <c r="K122" i="6"/>
  <c r="F122" i="6"/>
  <c r="L121" i="6"/>
  <c r="K121" i="6"/>
  <c r="W121" i="6"/>
  <c r="J121" i="6"/>
  <c r="I125" i="6" s="1"/>
  <c r="I121" i="6"/>
  <c r="H121" i="6"/>
  <c r="G121" i="6"/>
  <c r="V120" i="6"/>
  <c r="T120" i="6"/>
  <c r="L123" i="6" s="1"/>
  <c r="R120" i="6"/>
  <c r="U120" i="6"/>
  <c r="S120" i="6"/>
  <c r="Q120" i="6"/>
  <c r="J122" i="6" s="1"/>
  <c r="F120" i="6"/>
  <c r="E120" i="6"/>
  <c r="C120" i="6"/>
  <c r="B120" i="6"/>
  <c r="Z119" i="6"/>
  <c r="Y119" i="6"/>
  <c r="X119" i="6"/>
  <c r="J118" i="6"/>
  <c r="I118" i="6"/>
  <c r="H118" i="6"/>
  <c r="F118" i="6"/>
  <c r="K117" i="6"/>
  <c r="F117" i="6"/>
  <c r="K116" i="6"/>
  <c r="F116" i="6"/>
  <c r="L115" i="6"/>
  <c r="K115" i="6"/>
  <c r="J115" i="6"/>
  <c r="I115" i="6"/>
  <c r="H115" i="6"/>
  <c r="G115" i="6"/>
  <c r="V114" i="6"/>
  <c r="T114" i="6"/>
  <c r="L117" i="6" s="1"/>
  <c r="R114" i="6"/>
  <c r="L116" i="6" s="1"/>
  <c r="U114" i="6"/>
  <c r="S114" i="6"/>
  <c r="J117" i="6" s="1"/>
  <c r="Q114" i="6"/>
  <c r="J116" i="6" s="1"/>
  <c r="F114" i="6"/>
  <c r="E114" i="6"/>
  <c r="C114" i="6"/>
  <c r="B114" i="6"/>
  <c r="Z113" i="6"/>
  <c r="Y113" i="6"/>
  <c r="X113" i="6"/>
  <c r="J112" i="6"/>
  <c r="I112" i="6"/>
  <c r="H112" i="6"/>
  <c r="F112" i="6"/>
  <c r="K111" i="6"/>
  <c r="J111" i="6"/>
  <c r="F111" i="6"/>
  <c r="L110" i="6"/>
  <c r="K110" i="6"/>
  <c r="F110" i="6"/>
  <c r="L109" i="6"/>
  <c r="K109" i="6"/>
  <c r="W109" i="6"/>
  <c r="J109" i="6"/>
  <c r="I109" i="6"/>
  <c r="H109" i="6"/>
  <c r="G109" i="6"/>
  <c r="V108" i="6"/>
  <c r="T108" i="6"/>
  <c r="L111" i="6" s="1"/>
  <c r="R108" i="6"/>
  <c r="U108" i="6"/>
  <c r="S108" i="6"/>
  <c r="Q108" i="6"/>
  <c r="J110" i="6" s="1"/>
  <c r="F108" i="6"/>
  <c r="E108" i="6"/>
  <c r="C108" i="6"/>
  <c r="B108" i="6"/>
  <c r="A107" i="6"/>
  <c r="I105" i="6"/>
  <c r="K105" i="6"/>
  <c r="I104" i="6"/>
  <c r="K104" i="6"/>
  <c r="A103" i="6"/>
  <c r="AA101" i="6"/>
  <c r="Z101" i="6"/>
  <c r="X101" i="6"/>
  <c r="J100" i="6"/>
  <c r="I100" i="6"/>
  <c r="H100" i="6"/>
  <c r="F100" i="6"/>
  <c r="K99" i="6"/>
  <c r="F99" i="6"/>
  <c r="K98" i="6"/>
  <c r="F98" i="6"/>
  <c r="K97" i="6"/>
  <c r="F97" i="6"/>
  <c r="L96" i="6"/>
  <c r="K96" i="6"/>
  <c r="J96" i="6"/>
  <c r="I96" i="6"/>
  <c r="H96" i="6"/>
  <c r="G96" i="6"/>
  <c r="L95" i="6"/>
  <c r="K95" i="6"/>
  <c r="J95" i="6"/>
  <c r="W95" i="6" s="1"/>
  <c r="I95" i="6"/>
  <c r="H95" i="6"/>
  <c r="G95" i="6"/>
  <c r="L94" i="6"/>
  <c r="K94" i="6"/>
  <c r="J94" i="6"/>
  <c r="I94" i="6"/>
  <c r="H94" i="6"/>
  <c r="G94" i="6"/>
  <c r="L93" i="6"/>
  <c r="K93" i="6"/>
  <c r="W93" i="6"/>
  <c r="J93" i="6"/>
  <c r="I93" i="6"/>
  <c r="H93" i="6"/>
  <c r="G93" i="6"/>
  <c r="D92" i="6"/>
  <c r="V91" i="6"/>
  <c r="L99" i="6" s="1"/>
  <c r="T91" i="6"/>
  <c r="L98" i="6" s="1"/>
  <c r="R91" i="6"/>
  <c r="L97" i="6" s="1"/>
  <c r="U91" i="6"/>
  <c r="J99" i="6" s="1"/>
  <c r="S91" i="6"/>
  <c r="J98" i="6" s="1"/>
  <c r="Q91" i="6"/>
  <c r="J97" i="6" s="1"/>
  <c r="F91" i="6"/>
  <c r="E91" i="6"/>
  <c r="C91" i="6"/>
  <c r="B91" i="6"/>
  <c r="AA90" i="6"/>
  <c r="Z90" i="6"/>
  <c r="X90" i="6"/>
  <c r="J89" i="6"/>
  <c r="I89" i="6"/>
  <c r="H89" i="6"/>
  <c r="F89" i="6"/>
  <c r="K88" i="6"/>
  <c r="J88" i="6"/>
  <c r="F88" i="6"/>
  <c r="L87" i="6"/>
  <c r="K87" i="6"/>
  <c r="F87" i="6"/>
  <c r="K86" i="6"/>
  <c r="J86" i="6"/>
  <c r="F86" i="6"/>
  <c r="L85" i="6"/>
  <c r="K85" i="6"/>
  <c r="W85" i="6"/>
  <c r="J85" i="6"/>
  <c r="I85" i="6"/>
  <c r="H85" i="6"/>
  <c r="G85" i="6"/>
  <c r="L84" i="6"/>
  <c r="K84" i="6"/>
  <c r="J84" i="6"/>
  <c r="I84" i="6"/>
  <c r="H84" i="6"/>
  <c r="G84" i="6"/>
  <c r="L83" i="6"/>
  <c r="K83" i="6"/>
  <c r="J83" i="6"/>
  <c r="I83" i="6"/>
  <c r="H83" i="6"/>
  <c r="G83" i="6"/>
  <c r="V82" i="6"/>
  <c r="L88" i="6" s="1"/>
  <c r="T82" i="6"/>
  <c r="R82" i="6"/>
  <c r="L86" i="6" s="1"/>
  <c r="P90" i="6" s="1"/>
  <c r="U82" i="6"/>
  <c r="S82" i="6"/>
  <c r="J87" i="6" s="1"/>
  <c r="Q82" i="6"/>
  <c r="F82" i="6"/>
  <c r="E82" i="6"/>
  <c r="C82" i="6"/>
  <c r="B82" i="6"/>
  <c r="AA81" i="6"/>
  <c r="Z81" i="6"/>
  <c r="X81" i="6"/>
  <c r="J80" i="6"/>
  <c r="I80" i="6"/>
  <c r="H80" i="6"/>
  <c r="F80" i="6"/>
  <c r="K79" i="6"/>
  <c r="J79" i="6"/>
  <c r="F79" i="6"/>
  <c r="L78" i="6"/>
  <c r="K78" i="6"/>
  <c r="F78" i="6"/>
  <c r="K77" i="6"/>
  <c r="J77" i="6"/>
  <c r="F77" i="6"/>
  <c r="L76" i="6"/>
  <c r="K76" i="6"/>
  <c r="J76" i="6"/>
  <c r="I76" i="6"/>
  <c r="H76" i="6"/>
  <c r="G76" i="6"/>
  <c r="L75" i="6"/>
  <c r="K75" i="6"/>
  <c r="W75" i="6"/>
  <c r="J75" i="6"/>
  <c r="I75" i="6"/>
  <c r="H75" i="6"/>
  <c r="G75" i="6"/>
  <c r="L74" i="6"/>
  <c r="K74" i="6"/>
  <c r="J74" i="6"/>
  <c r="I74" i="6"/>
  <c r="H74" i="6"/>
  <c r="G74" i="6"/>
  <c r="L73" i="6"/>
  <c r="K73" i="6"/>
  <c r="J73" i="6"/>
  <c r="I73" i="6"/>
  <c r="H73" i="6"/>
  <c r="G73" i="6"/>
  <c r="V72" i="6"/>
  <c r="L79" i="6" s="1"/>
  <c r="T72" i="6"/>
  <c r="R72" i="6"/>
  <c r="L77" i="6" s="1"/>
  <c r="U72" i="6"/>
  <c r="S72" i="6"/>
  <c r="J78" i="6" s="1"/>
  <c r="Q72" i="6"/>
  <c r="F72" i="6"/>
  <c r="E72" i="6"/>
  <c r="C72" i="6"/>
  <c r="B72" i="6"/>
  <c r="AA71" i="6"/>
  <c r="Z71" i="6"/>
  <c r="X71" i="6"/>
  <c r="J70" i="6"/>
  <c r="I70" i="6"/>
  <c r="H70" i="6"/>
  <c r="F70" i="6"/>
  <c r="K69" i="6"/>
  <c r="J69" i="6"/>
  <c r="F69" i="6"/>
  <c r="L68" i="6"/>
  <c r="K68" i="6"/>
  <c r="F68" i="6"/>
  <c r="K67" i="6"/>
  <c r="J67" i="6"/>
  <c r="F67" i="6"/>
  <c r="L66" i="6"/>
  <c r="P71" i="6" s="1"/>
  <c r="K66" i="6"/>
  <c r="J66" i="6"/>
  <c r="I66" i="6"/>
  <c r="H66" i="6"/>
  <c r="G66" i="6"/>
  <c r="L65" i="6"/>
  <c r="K65" i="6"/>
  <c r="W65" i="6"/>
  <c r="J65" i="6"/>
  <c r="I65" i="6"/>
  <c r="H65" i="6"/>
  <c r="G65" i="6"/>
  <c r="L64" i="6"/>
  <c r="K64" i="6"/>
  <c r="J64" i="6"/>
  <c r="I64" i="6"/>
  <c r="H64" i="6"/>
  <c r="G64" i="6"/>
  <c r="L63" i="6"/>
  <c r="K63" i="6"/>
  <c r="J63" i="6"/>
  <c r="I63" i="6"/>
  <c r="H63" i="6"/>
  <c r="G63" i="6"/>
  <c r="V62" i="6"/>
  <c r="L69" i="6" s="1"/>
  <c r="T62" i="6"/>
  <c r="R62" i="6"/>
  <c r="L67" i="6" s="1"/>
  <c r="U62" i="6"/>
  <c r="S62" i="6"/>
  <c r="J68" i="6" s="1"/>
  <c r="Q62" i="6"/>
  <c r="F62" i="6"/>
  <c r="E62" i="6"/>
  <c r="C62" i="6"/>
  <c r="B62" i="6"/>
  <c r="AA61" i="6"/>
  <c r="Z61" i="6"/>
  <c r="X61" i="6"/>
  <c r="J60" i="6"/>
  <c r="I60" i="6"/>
  <c r="H60" i="6"/>
  <c r="F60" i="6"/>
  <c r="K59" i="6"/>
  <c r="J59" i="6"/>
  <c r="F59" i="6"/>
  <c r="L58" i="6"/>
  <c r="K58" i="6"/>
  <c r="F58" i="6"/>
  <c r="K57" i="6"/>
  <c r="J57" i="6"/>
  <c r="F57" i="6"/>
  <c r="L56" i="6"/>
  <c r="K56" i="6"/>
  <c r="J56" i="6"/>
  <c r="I56" i="6"/>
  <c r="H56" i="6"/>
  <c r="G56" i="6"/>
  <c r="L55" i="6"/>
  <c r="K55" i="6"/>
  <c r="W55" i="6"/>
  <c r="J55" i="6"/>
  <c r="I55" i="6"/>
  <c r="H55" i="6"/>
  <c r="G55" i="6"/>
  <c r="L54" i="6"/>
  <c r="K54" i="6"/>
  <c r="J54" i="6"/>
  <c r="I54" i="6"/>
  <c r="H54" i="6"/>
  <c r="G54" i="6"/>
  <c r="L53" i="6"/>
  <c r="K53" i="6"/>
  <c r="J53" i="6"/>
  <c r="I53" i="6"/>
  <c r="H53" i="6"/>
  <c r="G53" i="6"/>
  <c r="V52" i="6"/>
  <c r="L59" i="6" s="1"/>
  <c r="T52" i="6"/>
  <c r="R52" i="6"/>
  <c r="L57" i="6" s="1"/>
  <c r="U52" i="6"/>
  <c r="S52" i="6"/>
  <c r="J58" i="6" s="1"/>
  <c r="Q52" i="6"/>
  <c r="F52" i="6"/>
  <c r="E52" i="6"/>
  <c r="C52" i="6"/>
  <c r="B52" i="6"/>
  <c r="AA51" i="6"/>
  <c r="Z51" i="6"/>
  <c r="X51" i="6"/>
  <c r="J50" i="6"/>
  <c r="I50" i="6"/>
  <c r="H50" i="6"/>
  <c r="F50" i="6"/>
  <c r="K49" i="6"/>
  <c r="J49" i="6"/>
  <c r="F49" i="6"/>
  <c r="L48" i="6"/>
  <c r="K48" i="6"/>
  <c r="F48" i="6"/>
  <c r="K47" i="6"/>
  <c r="J47" i="6"/>
  <c r="F47" i="6"/>
  <c r="L46" i="6"/>
  <c r="K46" i="6"/>
  <c r="W46" i="6"/>
  <c r="J46" i="6"/>
  <c r="I46" i="6"/>
  <c r="H46" i="6"/>
  <c r="G46" i="6"/>
  <c r="L45" i="6"/>
  <c r="K45" i="6"/>
  <c r="J45" i="6"/>
  <c r="I45" i="6"/>
  <c r="H45" i="6"/>
  <c r="G45" i="6"/>
  <c r="L44" i="6"/>
  <c r="K44" i="6"/>
  <c r="J44" i="6"/>
  <c r="I44" i="6"/>
  <c r="H44" i="6"/>
  <c r="G44" i="6"/>
  <c r="V43" i="6"/>
  <c r="L49" i="6" s="1"/>
  <c r="T43" i="6"/>
  <c r="R43" i="6"/>
  <c r="L47" i="6" s="1"/>
  <c r="P51" i="6" s="1"/>
  <c r="U43" i="6"/>
  <c r="S43" i="6"/>
  <c r="J48" i="6" s="1"/>
  <c r="Q43" i="6"/>
  <c r="F43" i="6"/>
  <c r="E43" i="6"/>
  <c r="C43" i="6"/>
  <c r="B43" i="6"/>
  <c r="A42" i="6"/>
  <c r="H32" i="6"/>
  <c r="J27" i="6"/>
  <c r="I27" i="6"/>
  <c r="H27" i="6"/>
  <c r="J22" i="6"/>
  <c r="J21" i="6"/>
  <c r="J20" i="6"/>
  <c r="J19" i="6"/>
  <c r="J16" i="6"/>
  <c r="AJ17" i="6"/>
  <c r="C17" i="6"/>
  <c r="J14" i="6"/>
  <c r="J12" i="6"/>
  <c r="C13" i="6"/>
  <c r="J10" i="6"/>
  <c r="AJ11" i="6"/>
  <c r="C11" i="6"/>
  <c r="J8" i="6"/>
  <c r="C9" i="6"/>
  <c r="A1" i="6"/>
  <c r="H173" i="5"/>
  <c r="H170" i="5"/>
  <c r="C173" i="5"/>
  <c r="C170" i="5"/>
  <c r="J167" i="5"/>
  <c r="C167" i="5"/>
  <c r="J166" i="5"/>
  <c r="C166" i="5"/>
  <c r="J165" i="5"/>
  <c r="C165" i="5"/>
  <c r="J28" i="5"/>
  <c r="J26" i="5"/>
  <c r="J25" i="5"/>
  <c r="J24" i="5"/>
  <c r="J23" i="5"/>
  <c r="J22" i="5"/>
  <c r="J21" i="5"/>
  <c r="I28" i="5"/>
  <c r="H164" i="5"/>
  <c r="J164" i="5"/>
  <c r="H163" i="5"/>
  <c r="J163" i="5"/>
  <c r="H160" i="5"/>
  <c r="J160" i="5"/>
  <c r="H159" i="5"/>
  <c r="J159" i="5"/>
  <c r="AL158" i="5"/>
  <c r="A158" i="5"/>
  <c r="H156" i="5"/>
  <c r="J156" i="5"/>
  <c r="H155" i="5"/>
  <c r="J155" i="5"/>
  <c r="AL154" i="5"/>
  <c r="A154" i="5"/>
  <c r="AA152" i="5"/>
  <c r="Z152" i="5"/>
  <c r="X152" i="5"/>
  <c r="K151" i="5"/>
  <c r="P152" i="5" s="1"/>
  <c r="J151" i="5"/>
  <c r="I151" i="5"/>
  <c r="Y152" i="5" s="1"/>
  <c r="H151" i="5"/>
  <c r="G151" i="5"/>
  <c r="F151" i="5"/>
  <c r="V151" i="5"/>
  <c r="T151" i="5"/>
  <c r="R151" i="5"/>
  <c r="U151" i="5"/>
  <c r="S151" i="5"/>
  <c r="Q151" i="5"/>
  <c r="E151" i="5"/>
  <c r="D151" i="5"/>
  <c r="B151" i="5"/>
  <c r="A151" i="5"/>
  <c r="AA150" i="5"/>
  <c r="Z150" i="5"/>
  <c r="Y150" i="5"/>
  <c r="K149" i="5"/>
  <c r="P150" i="5" s="1"/>
  <c r="J149" i="5"/>
  <c r="I149" i="5"/>
  <c r="O150" i="5" s="1"/>
  <c r="H149" i="5"/>
  <c r="G149" i="5"/>
  <c r="F149" i="5"/>
  <c r="V149" i="5"/>
  <c r="T149" i="5"/>
  <c r="R149" i="5"/>
  <c r="U149" i="5"/>
  <c r="S149" i="5"/>
  <c r="Q149" i="5"/>
  <c r="E149" i="5"/>
  <c r="D149" i="5"/>
  <c r="B149" i="5"/>
  <c r="A149" i="5"/>
  <c r="A148" i="5"/>
  <c r="H146" i="5"/>
  <c r="J146" i="5"/>
  <c r="H145" i="5"/>
  <c r="J145" i="5"/>
  <c r="A144" i="5"/>
  <c r="Z142" i="5"/>
  <c r="Y142" i="5"/>
  <c r="X142" i="5"/>
  <c r="I141" i="5"/>
  <c r="H141" i="5"/>
  <c r="G141" i="5"/>
  <c r="E141" i="5"/>
  <c r="J140" i="5"/>
  <c r="E140" i="5"/>
  <c r="J139" i="5"/>
  <c r="E139" i="5"/>
  <c r="K138" i="5"/>
  <c r="J138" i="5"/>
  <c r="W138" i="5"/>
  <c r="I138" i="5"/>
  <c r="H138" i="5"/>
  <c r="G138" i="5"/>
  <c r="F138" i="5"/>
  <c r="V137" i="5"/>
  <c r="T137" i="5"/>
  <c r="K140" i="5" s="1"/>
  <c r="R137" i="5"/>
  <c r="K139" i="5" s="1"/>
  <c r="U137" i="5"/>
  <c r="S137" i="5"/>
  <c r="I140" i="5" s="1"/>
  <c r="Q137" i="5"/>
  <c r="I139" i="5" s="1"/>
  <c r="E137" i="5"/>
  <c r="D137" i="5"/>
  <c r="B137" i="5"/>
  <c r="A137" i="5"/>
  <c r="Z136" i="5"/>
  <c r="Y136" i="5"/>
  <c r="X136" i="5"/>
  <c r="I135" i="5"/>
  <c r="H135" i="5"/>
  <c r="G135" i="5"/>
  <c r="E135" i="5"/>
  <c r="J134" i="5"/>
  <c r="E134" i="5"/>
  <c r="J133" i="5"/>
  <c r="E133" i="5"/>
  <c r="K132" i="5"/>
  <c r="J132" i="5"/>
  <c r="I132" i="5"/>
  <c r="H132" i="5"/>
  <c r="G132" i="5"/>
  <c r="F132" i="5"/>
  <c r="V131" i="5"/>
  <c r="T131" i="5"/>
  <c r="K134" i="5" s="1"/>
  <c r="R131" i="5"/>
  <c r="K133" i="5" s="1"/>
  <c r="J136" i="5" s="1"/>
  <c r="U131" i="5"/>
  <c r="S131" i="5"/>
  <c r="I134" i="5" s="1"/>
  <c r="Q131" i="5"/>
  <c r="I133" i="5" s="1"/>
  <c r="E131" i="5"/>
  <c r="D131" i="5"/>
  <c r="B131" i="5"/>
  <c r="A131" i="5"/>
  <c r="Z130" i="5"/>
  <c r="Y130" i="5"/>
  <c r="X130" i="5"/>
  <c r="I129" i="5"/>
  <c r="H129" i="5"/>
  <c r="G129" i="5"/>
  <c r="E129" i="5"/>
  <c r="J128" i="5"/>
  <c r="E128" i="5"/>
  <c r="J127" i="5"/>
  <c r="E127" i="5"/>
  <c r="K126" i="5"/>
  <c r="J126" i="5"/>
  <c r="I126" i="5"/>
  <c r="H126" i="5"/>
  <c r="G126" i="5"/>
  <c r="F126" i="5"/>
  <c r="V125" i="5"/>
  <c r="T125" i="5"/>
  <c r="K128" i="5" s="1"/>
  <c r="R125" i="5"/>
  <c r="K127" i="5" s="1"/>
  <c r="U125" i="5"/>
  <c r="S125" i="5"/>
  <c r="I128" i="5" s="1"/>
  <c r="Q125" i="5"/>
  <c r="I127" i="5" s="1"/>
  <c r="E125" i="5"/>
  <c r="D125" i="5"/>
  <c r="B125" i="5"/>
  <c r="A125" i="5"/>
  <c r="Z124" i="5"/>
  <c r="Y124" i="5"/>
  <c r="X124" i="5"/>
  <c r="I123" i="5"/>
  <c r="H123" i="5"/>
  <c r="G123" i="5"/>
  <c r="E123" i="5"/>
  <c r="J122" i="5"/>
  <c r="E122" i="5"/>
  <c r="J121" i="5"/>
  <c r="E121" i="5"/>
  <c r="K120" i="5"/>
  <c r="J120" i="5"/>
  <c r="I120" i="5"/>
  <c r="H120" i="5"/>
  <c r="G120" i="5"/>
  <c r="F120" i="5"/>
  <c r="V119" i="5"/>
  <c r="T119" i="5"/>
  <c r="K122" i="5" s="1"/>
  <c r="R119" i="5"/>
  <c r="K121" i="5" s="1"/>
  <c r="U119" i="5"/>
  <c r="S119" i="5"/>
  <c r="I122" i="5" s="1"/>
  <c r="Q119" i="5"/>
  <c r="I121" i="5" s="1"/>
  <c r="E119" i="5"/>
  <c r="D119" i="5"/>
  <c r="B119" i="5"/>
  <c r="A119" i="5"/>
  <c r="Z118" i="5"/>
  <c r="Y118" i="5"/>
  <c r="X118" i="5"/>
  <c r="I117" i="5"/>
  <c r="H117" i="5"/>
  <c r="G117" i="5"/>
  <c r="E117" i="5"/>
  <c r="J116" i="5"/>
  <c r="E116" i="5"/>
  <c r="J115" i="5"/>
  <c r="E115" i="5"/>
  <c r="K114" i="5"/>
  <c r="J114" i="5"/>
  <c r="W114" i="5"/>
  <c r="I114" i="5"/>
  <c r="H114" i="5"/>
  <c r="G114" i="5"/>
  <c r="F114" i="5"/>
  <c r="V113" i="5"/>
  <c r="T113" i="5"/>
  <c r="K116" i="5" s="1"/>
  <c r="R113" i="5"/>
  <c r="K115" i="5" s="1"/>
  <c r="U113" i="5"/>
  <c r="S113" i="5"/>
  <c r="I116" i="5" s="1"/>
  <c r="Q113" i="5"/>
  <c r="I115" i="5" s="1"/>
  <c r="E113" i="5"/>
  <c r="D113" i="5"/>
  <c r="B113" i="5"/>
  <c r="A113" i="5"/>
  <c r="Z112" i="5"/>
  <c r="Y112" i="5"/>
  <c r="X112" i="5"/>
  <c r="I111" i="5"/>
  <c r="H111" i="5"/>
  <c r="G111" i="5"/>
  <c r="E111" i="5"/>
  <c r="J110" i="5"/>
  <c r="E110" i="5"/>
  <c r="J109" i="5"/>
  <c r="E109" i="5"/>
  <c r="K108" i="5"/>
  <c r="J108" i="5"/>
  <c r="I108" i="5"/>
  <c r="H108" i="5"/>
  <c r="G108" i="5"/>
  <c r="F108" i="5"/>
  <c r="V107" i="5"/>
  <c r="T107" i="5"/>
  <c r="K110" i="5" s="1"/>
  <c r="R107" i="5"/>
  <c r="K109" i="5" s="1"/>
  <c r="J112" i="5" s="1"/>
  <c r="U107" i="5"/>
  <c r="S107" i="5"/>
  <c r="I110" i="5" s="1"/>
  <c r="Q107" i="5"/>
  <c r="I109" i="5" s="1"/>
  <c r="E107" i="5"/>
  <c r="D107" i="5"/>
  <c r="B107" i="5"/>
  <c r="A107" i="5"/>
  <c r="Z106" i="5"/>
  <c r="Y106" i="5"/>
  <c r="X106" i="5"/>
  <c r="I105" i="5"/>
  <c r="H105" i="5"/>
  <c r="G105" i="5"/>
  <c r="E105" i="5"/>
  <c r="J104" i="5"/>
  <c r="E104" i="5"/>
  <c r="J103" i="5"/>
  <c r="E103" i="5"/>
  <c r="K102" i="5"/>
  <c r="J102" i="5"/>
  <c r="I102" i="5"/>
  <c r="H102" i="5"/>
  <c r="G102" i="5"/>
  <c r="F102" i="5"/>
  <c r="V101" i="5"/>
  <c r="T101" i="5"/>
  <c r="K104" i="5" s="1"/>
  <c r="R101" i="5"/>
  <c r="K103" i="5" s="1"/>
  <c r="U101" i="5"/>
  <c r="S101" i="5"/>
  <c r="I104" i="5" s="1"/>
  <c r="Q101" i="5"/>
  <c r="I103" i="5" s="1"/>
  <c r="E101" i="5"/>
  <c r="D101" i="5"/>
  <c r="B101" i="5"/>
  <c r="A101" i="5"/>
  <c r="A100" i="5"/>
  <c r="H98" i="5"/>
  <c r="J98" i="5"/>
  <c r="H97" i="5"/>
  <c r="J97" i="5"/>
  <c r="A96" i="5"/>
  <c r="AA94" i="5"/>
  <c r="Z94" i="5"/>
  <c r="X94" i="5"/>
  <c r="I93" i="5"/>
  <c r="H93" i="5"/>
  <c r="G93" i="5"/>
  <c r="E93" i="5"/>
  <c r="J92" i="5"/>
  <c r="E92" i="5"/>
  <c r="J91" i="5"/>
  <c r="E91" i="5"/>
  <c r="J90" i="5"/>
  <c r="E90" i="5"/>
  <c r="K89" i="5"/>
  <c r="J89" i="5"/>
  <c r="I89" i="5"/>
  <c r="H89" i="5"/>
  <c r="G89" i="5"/>
  <c r="F89" i="5"/>
  <c r="K88" i="5"/>
  <c r="J88" i="5"/>
  <c r="I88" i="5"/>
  <c r="W88" i="5" s="1"/>
  <c r="H88" i="5"/>
  <c r="G88" i="5"/>
  <c r="F88" i="5"/>
  <c r="K87" i="5"/>
  <c r="J87" i="5"/>
  <c r="I87" i="5"/>
  <c r="H87" i="5"/>
  <c r="G87" i="5"/>
  <c r="F87" i="5"/>
  <c r="K86" i="5"/>
  <c r="J86" i="5"/>
  <c r="I86" i="5"/>
  <c r="W86" i="5" s="1"/>
  <c r="H86" i="5"/>
  <c r="G86" i="5"/>
  <c r="F86" i="5"/>
  <c r="C85" i="5"/>
  <c r="V84" i="5"/>
  <c r="K92" i="5" s="1"/>
  <c r="T84" i="5"/>
  <c r="K91" i="5" s="1"/>
  <c r="R84" i="5"/>
  <c r="K90" i="5" s="1"/>
  <c r="U84" i="5"/>
  <c r="I92" i="5" s="1"/>
  <c r="S84" i="5"/>
  <c r="I91" i="5" s="1"/>
  <c r="Q84" i="5"/>
  <c r="I90" i="5" s="1"/>
  <c r="E84" i="5"/>
  <c r="D84" i="5"/>
  <c r="B84" i="5"/>
  <c r="A84" i="5"/>
  <c r="AA83" i="5"/>
  <c r="Z83" i="5"/>
  <c r="X83" i="5"/>
  <c r="I82" i="5"/>
  <c r="H82" i="5"/>
  <c r="G82" i="5"/>
  <c r="E82" i="5"/>
  <c r="J81" i="5"/>
  <c r="E81" i="5"/>
  <c r="J80" i="5"/>
  <c r="E80" i="5"/>
  <c r="J79" i="5"/>
  <c r="E79" i="5"/>
  <c r="K78" i="5"/>
  <c r="J78" i="5"/>
  <c r="I78" i="5"/>
  <c r="W78" i="5" s="1"/>
  <c r="H78" i="5"/>
  <c r="G78" i="5"/>
  <c r="F78" i="5"/>
  <c r="K77" i="5"/>
  <c r="J77" i="5"/>
  <c r="I77" i="5"/>
  <c r="H77" i="5"/>
  <c r="G77" i="5"/>
  <c r="F77" i="5"/>
  <c r="K76" i="5"/>
  <c r="J76" i="5"/>
  <c r="I76" i="5"/>
  <c r="H76" i="5"/>
  <c r="G76" i="5"/>
  <c r="F76" i="5"/>
  <c r="V75" i="5"/>
  <c r="K81" i="5" s="1"/>
  <c r="T75" i="5"/>
  <c r="K80" i="5" s="1"/>
  <c r="R75" i="5"/>
  <c r="K79" i="5" s="1"/>
  <c r="U75" i="5"/>
  <c r="I81" i="5" s="1"/>
  <c r="S75" i="5"/>
  <c r="I80" i="5" s="1"/>
  <c r="Q75" i="5"/>
  <c r="I79" i="5" s="1"/>
  <c r="E75" i="5"/>
  <c r="D75" i="5"/>
  <c r="B75" i="5"/>
  <c r="A75" i="5"/>
  <c r="AA74" i="5"/>
  <c r="Z74" i="5"/>
  <c r="X74" i="5"/>
  <c r="I73" i="5"/>
  <c r="H73" i="5"/>
  <c r="G73" i="5"/>
  <c r="E73" i="5"/>
  <c r="J72" i="5"/>
  <c r="E72" i="5"/>
  <c r="J71" i="5"/>
  <c r="E71" i="5"/>
  <c r="J70" i="5"/>
  <c r="E70" i="5"/>
  <c r="K69" i="5"/>
  <c r="J69" i="5"/>
  <c r="I69" i="5"/>
  <c r="H69" i="5"/>
  <c r="G69" i="5"/>
  <c r="F69" i="5"/>
  <c r="K68" i="5"/>
  <c r="J68" i="5"/>
  <c r="W68" i="5"/>
  <c r="I68" i="5"/>
  <c r="H68" i="5"/>
  <c r="G68" i="5"/>
  <c r="F68" i="5"/>
  <c r="K67" i="5"/>
  <c r="J67" i="5"/>
  <c r="I67" i="5"/>
  <c r="H67" i="5"/>
  <c r="G67" i="5"/>
  <c r="F67" i="5"/>
  <c r="K66" i="5"/>
  <c r="J66" i="5"/>
  <c r="I66" i="5"/>
  <c r="H66" i="5"/>
  <c r="G66" i="5"/>
  <c r="F66" i="5"/>
  <c r="V65" i="5"/>
  <c r="K72" i="5" s="1"/>
  <c r="T65" i="5"/>
  <c r="K71" i="5" s="1"/>
  <c r="R65" i="5"/>
  <c r="K70" i="5" s="1"/>
  <c r="U65" i="5"/>
  <c r="I72" i="5" s="1"/>
  <c r="S65" i="5"/>
  <c r="I71" i="5" s="1"/>
  <c r="Q65" i="5"/>
  <c r="I70" i="5" s="1"/>
  <c r="E65" i="5"/>
  <c r="D65" i="5"/>
  <c r="B65" i="5"/>
  <c r="A65" i="5"/>
  <c r="AA64" i="5"/>
  <c r="Z64" i="5"/>
  <c r="X64" i="5"/>
  <c r="I63" i="5"/>
  <c r="H63" i="5"/>
  <c r="G63" i="5"/>
  <c r="E63" i="5"/>
  <c r="J62" i="5"/>
  <c r="E62" i="5"/>
  <c r="J61" i="5"/>
  <c r="E61" i="5"/>
  <c r="J60" i="5"/>
  <c r="E60" i="5"/>
  <c r="K59" i="5"/>
  <c r="J59" i="5"/>
  <c r="I59" i="5"/>
  <c r="H59" i="5"/>
  <c r="G59" i="5"/>
  <c r="F59" i="5"/>
  <c r="K58" i="5"/>
  <c r="J58" i="5"/>
  <c r="I58" i="5"/>
  <c r="W58" i="5" s="1"/>
  <c r="H58" i="5"/>
  <c r="G58" i="5"/>
  <c r="F58" i="5"/>
  <c r="K57" i="5"/>
  <c r="J57" i="5"/>
  <c r="I57" i="5"/>
  <c r="H57" i="5"/>
  <c r="G57" i="5"/>
  <c r="F57" i="5"/>
  <c r="K56" i="5"/>
  <c r="J56" i="5"/>
  <c r="I56" i="5"/>
  <c r="H56" i="5"/>
  <c r="G56" i="5"/>
  <c r="F56" i="5"/>
  <c r="V55" i="5"/>
  <c r="K62" i="5" s="1"/>
  <c r="T55" i="5"/>
  <c r="K61" i="5" s="1"/>
  <c r="R55" i="5"/>
  <c r="K60" i="5" s="1"/>
  <c r="U55" i="5"/>
  <c r="I62" i="5" s="1"/>
  <c r="S55" i="5"/>
  <c r="I61" i="5" s="1"/>
  <c r="Q55" i="5"/>
  <c r="I60" i="5" s="1"/>
  <c r="E55" i="5"/>
  <c r="D55" i="5"/>
  <c r="B55" i="5"/>
  <c r="A55" i="5"/>
  <c r="AA54" i="5"/>
  <c r="Z54" i="5"/>
  <c r="X54" i="5"/>
  <c r="I53" i="5"/>
  <c r="H53" i="5"/>
  <c r="G53" i="5"/>
  <c r="E53" i="5"/>
  <c r="J52" i="5"/>
  <c r="E52" i="5"/>
  <c r="J51" i="5"/>
  <c r="E51" i="5"/>
  <c r="J50" i="5"/>
  <c r="E50" i="5"/>
  <c r="K49" i="5"/>
  <c r="J49" i="5"/>
  <c r="I49" i="5"/>
  <c r="H49" i="5"/>
  <c r="G49" i="5"/>
  <c r="F49" i="5"/>
  <c r="K48" i="5"/>
  <c r="J48" i="5"/>
  <c r="W48" i="5"/>
  <c r="I48" i="5"/>
  <c r="H48" i="5"/>
  <c r="G48" i="5"/>
  <c r="F48" i="5"/>
  <c r="K47" i="5"/>
  <c r="J47" i="5"/>
  <c r="I47" i="5"/>
  <c r="H47" i="5"/>
  <c r="G47" i="5"/>
  <c r="F47" i="5"/>
  <c r="K46" i="5"/>
  <c r="J46" i="5"/>
  <c r="I46" i="5"/>
  <c r="H46" i="5"/>
  <c r="G46" i="5"/>
  <c r="F46" i="5"/>
  <c r="V45" i="5"/>
  <c r="K52" i="5" s="1"/>
  <c r="T45" i="5"/>
  <c r="K51" i="5" s="1"/>
  <c r="R45" i="5"/>
  <c r="K50" i="5" s="1"/>
  <c r="U45" i="5"/>
  <c r="I52" i="5" s="1"/>
  <c r="S45" i="5"/>
  <c r="I51" i="5" s="1"/>
  <c r="Q45" i="5"/>
  <c r="I50" i="5" s="1"/>
  <c r="E45" i="5"/>
  <c r="D45" i="5"/>
  <c r="B45" i="5"/>
  <c r="A45" i="5"/>
  <c r="AA44" i="5"/>
  <c r="Z44" i="5"/>
  <c r="I24" i="5" s="1"/>
  <c r="X44" i="5"/>
  <c r="I43" i="5"/>
  <c r="H43" i="5"/>
  <c r="G43" i="5"/>
  <c r="E43" i="5"/>
  <c r="K42" i="5"/>
  <c r="J42" i="5"/>
  <c r="E42" i="5"/>
  <c r="J41" i="5"/>
  <c r="I41" i="5"/>
  <c r="E41" i="5"/>
  <c r="K40" i="5"/>
  <c r="J40" i="5"/>
  <c r="E40" i="5"/>
  <c r="K39" i="5"/>
  <c r="J39" i="5"/>
  <c r="W39" i="5"/>
  <c r="I39" i="5"/>
  <c r="H39" i="5"/>
  <c r="G39" i="5"/>
  <c r="F39" i="5"/>
  <c r="K38" i="5"/>
  <c r="J38" i="5"/>
  <c r="I38" i="5"/>
  <c r="H38" i="5"/>
  <c r="G38" i="5"/>
  <c r="F38" i="5"/>
  <c r="K37" i="5"/>
  <c r="J37" i="5"/>
  <c r="I37" i="5"/>
  <c r="H37" i="5"/>
  <c r="G37" i="5"/>
  <c r="F37" i="5"/>
  <c r="V36" i="5"/>
  <c r="T36" i="5"/>
  <c r="K41" i="5" s="1"/>
  <c r="R36" i="5"/>
  <c r="U36" i="5"/>
  <c r="I42" i="5" s="1"/>
  <c r="S36" i="5"/>
  <c r="Q36" i="5"/>
  <c r="I40" i="5" s="1"/>
  <c r="Y44" i="5" s="1"/>
  <c r="E36" i="5"/>
  <c r="D36" i="5"/>
  <c r="B36" i="5"/>
  <c r="A36" i="5"/>
  <c r="A35" i="5"/>
  <c r="A33" i="5"/>
  <c r="A19" i="5"/>
  <c r="A16" i="5"/>
  <c r="AK11" i="5"/>
  <c r="G6" i="5"/>
  <c r="B6" i="5"/>
  <c r="A1" i="5"/>
  <c r="P44" i="5" l="1"/>
  <c r="P74" i="5"/>
  <c r="P83" i="5"/>
  <c r="H106" i="5"/>
  <c r="H130" i="5"/>
  <c r="W102" i="5"/>
  <c r="W126" i="5"/>
  <c r="I61" i="6"/>
  <c r="K61" i="6"/>
  <c r="I81" i="6"/>
  <c r="K81" i="6"/>
  <c r="P101" i="6"/>
  <c r="I101" i="6"/>
  <c r="AA113" i="6"/>
  <c r="O113" i="6"/>
  <c r="K113" i="6"/>
  <c r="AA131" i="6"/>
  <c r="P131" i="6"/>
  <c r="AA137" i="6"/>
  <c r="O137" i="6"/>
  <c r="K137" i="6"/>
  <c r="I51" i="6"/>
  <c r="K51" i="6"/>
  <c r="P61" i="6"/>
  <c r="K169" i="6" s="1"/>
  <c r="I71" i="6"/>
  <c r="K71" i="6"/>
  <c r="P81" i="6"/>
  <c r="I90" i="6"/>
  <c r="K90" i="6"/>
  <c r="Y101" i="6"/>
  <c r="I113" i="6"/>
  <c r="K119" i="6"/>
  <c r="AA119" i="6"/>
  <c r="P119" i="6"/>
  <c r="AA125" i="6"/>
  <c r="O125" i="6"/>
  <c r="K125" i="6"/>
  <c r="I137" i="6"/>
  <c r="K143" i="6"/>
  <c r="AA143" i="6"/>
  <c r="P143" i="6"/>
  <c r="AA149" i="6"/>
  <c r="O149" i="6"/>
  <c r="K149" i="6"/>
  <c r="O51" i="6"/>
  <c r="Y51" i="6"/>
  <c r="O61" i="6"/>
  <c r="Y61" i="6"/>
  <c r="O71" i="6"/>
  <c r="Y71" i="6"/>
  <c r="O81" i="6"/>
  <c r="Y81" i="6"/>
  <c r="O90" i="6"/>
  <c r="Y90" i="6"/>
  <c r="K101" i="6"/>
  <c r="P113" i="6"/>
  <c r="I119" i="6"/>
  <c r="P125" i="6"/>
  <c r="I131" i="6"/>
  <c r="P137" i="6"/>
  <c r="I143" i="6"/>
  <c r="P149" i="6"/>
  <c r="P157" i="6"/>
  <c r="O157" i="6"/>
  <c r="P159" i="6"/>
  <c r="O159" i="6"/>
  <c r="Y159" i="6"/>
  <c r="W44" i="6"/>
  <c r="W53" i="6"/>
  <c r="W63" i="6"/>
  <c r="W73" i="6"/>
  <c r="W83" i="6"/>
  <c r="O101" i="6"/>
  <c r="W115" i="6"/>
  <c r="O119" i="6"/>
  <c r="W127" i="6"/>
  <c r="O131" i="6"/>
  <c r="W139" i="6"/>
  <c r="O143" i="6"/>
  <c r="I157" i="6"/>
  <c r="O44" i="5"/>
  <c r="H54" i="5"/>
  <c r="W46" i="5"/>
  <c r="Y54" i="5"/>
  <c r="O54" i="5"/>
  <c r="J54" i="5"/>
  <c r="H64" i="5"/>
  <c r="J64" i="5"/>
  <c r="Y83" i="5"/>
  <c r="J83" i="5"/>
  <c r="Y94" i="5"/>
  <c r="H112" i="5"/>
  <c r="P112" i="5"/>
  <c r="AA118" i="5"/>
  <c r="O118" i="5"/>
  <c r="P118" i="5"/>
  <c r="H136" i="5"/>
  <c r="P136" i="5"/>
  <c r="AA142" i="5"/>
  <c r="O142" i="5"/>
  <c r="P142" i="5"/>
  <c r="H44" i="5"/>
  <c r="W37" i="5"/>
  <c r="J44" i="5"/>
  <c r="P54" i="5"/>
  <c r="P64" i="5"/>
  <c r="H74" i="5"/>
  <c r="J74" i="5"/>
  <c r="J94" i="5"/>
  <c r="H94" i="5"/>
  <c r="AA106" i="5"/>
  <c r="O106" i="5"/>
  <c r="P106" i="5"/>
  <c r="H118" i="5"/>
  <c r="J124" i="5"/>
  <c r="H124" i="5"/>
  <c r="P124" i="5"/>
  <c r="AA130" i="5"/>
  <c r="O130" i="5"/>
  <c r="P130" i="5"/>
  <c r="H142" i="5"/>
  <c r="J154" i="5"/>
  <c r="O64" i="5"/>
  <c r="Y64" i="5"/>
  <c r="O74" i="5"/>
  <c r="Y74" i="5"/>
  <c r="W56" i="5"/>
  <c r="W66" i="5"/>
  <c r="W76" i="5"/>
  <c r="H83" i="5"/>
  <c r="P94" i="5"/>
  <c r="O94" i="5"/>
  <c r="J106" i="5"/>
  <c r="W108" i="5"/>
  <c r="O112" i="5"/>
  <c r="AA112" i="5"/>
  <c r="J118" i="5"/>
  <c r="W120" i="5"/>
  <c r="O124" i="5"/>
  <c r="AA124" i="5"/>
  <c r="J130" i="5"/>
  <c r="W132" i="5"/>
  <c r="O136" i="5"/>
  <c r="AA136" i="5"/>
  <c r="J142" i="5"/>
  <c r="J150" i="5"/>
  <c r="H150" i="5"/>
  <c r="X150" i="5"/>
  <c r="I22" i="5" s="1"/>
  <c r="J152" i="5"/>
  <c r="H152" i="5"/>
  <c r="O83" i="5"/>
  <c r="O152" i="5"/>
  <c r="H154" i="5" s="1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B26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K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S28" i="1"/>
  <c r="CY28" i="1" s="1"/>
  <c r="X28" i="1" s="1"/>
  <c r="U28" i="1"/>
  <c r="Y28" i="1"/>
  <c r="AC28" i="1"/>
  <c r="AE28" i="1"/>
  <c r="Q28" i="1" s="1"/>
  <c r="AF28" i="1"/>
  <c r="AG28" i="1"/>
  <c r="CU28" i="1" s="1"/>
  <c r="T28" i="1" s="1"/>
  <c r="AH28" i="1"/>
  <c r="AI28" i="1"/>
  <c r="CW28" i="1" s="1"/>
  <c r="V28" i="1" s="1"/>
  <c r="AJ28" i="1"/>
  <c r="CT28" i="1"/>
  <c r="CV28" i="1"/>
  <c r="CX28" i="1"/>
  <c r="W28" i="1" s="1"/>
  <c r="CZ28" i="1"/>
  <c r="FR28" i="1"/>
  <c r="GL28" i="1"/>
  <c r="GN28" i="1"/>
  <c r="GP28" i="1"/>
  <c r="GV28" i="1"/>
  <c r="HC28" i="1"/>
  <c r="GX28" i="1" s="1"/>
  <c r="P29" i="1"/>
  <c r="R29" i="1"/>
  <c r="V29" i="1"/>
  <c r="AC29" i="1"/>
  <c r="AD29" i="1"/>
  <c r="AB29" i="1" s="1"/>
  <c r="AE29" i="1"/>
  <c r="Q29" i="1" s="1"/>
  <c r="AF29" i="1"/>
  <c r="AG29" i="1"/>
  <c r="AH29" i="1"/>
  <c r="CV29" i="1" s="1"/>
  <c r="U29" i="1" s="1"/>
  <c r="AI29" i="1"/>
  <c r="AJ29" i="1"/>
  <c r="CX29" i="1" s="1"/>
  <c r="W29" i="1" s="1"/>
  <c r="CQ29" i="1"/>
  <c r="CR29" i="1"/>
  <c r="CS29" i="1"/>
  <c r="CU29" i="1"/>
  <c r="T29" i="1" s="1"/>
  <c r="CW29" i="1"/>
  <c r="FR29" i="1"/>
  <c r="GK29" i="1"/>
  <c r="GL29" i="1"/>
  <c r="GN29" i="1"/>
  <c r="GP29" i="1"/>
  <c r="GV29" i="1"/>
  <c r="HC29" i="1"/>
  <c r="GX29" i="1" s="1"/>
  <c r="I30" i="1"/>
  <c r="S30" i="1"/>
  <c r="CY30" i="1" s="1"/>
  <c r="X30" i="1" s="1"/>
  <c r="W30" i="1"/>
  <c r="AC30" i="1"/>
  <c r="AE30" i="1"/>
  <c r="AF30" i="1"/>
  <c r="AG30" i="1"/>
  <c r="CU30" i="1" s="1"/>
  <c r="T30" i="1" s="1"/>
  <c r="AH30" i="1"/>
  <c r="AI30" i="1"/>
  <c r="CW30" i="1" s="1"/>
  <c r="V30" i="1" s="1"/>
  <c r="AJ30" i="1"/>
  <c r="CR30" i="1"/>
  <c r="CT30" i="1"/>
  <c r="CV30" i="1"/>
  <c r="U30" i="1" s="1"/>
  <c r="CX30" i="1"/>
  <c r="CZ30" i="1"/>
  <c r="Y30" i="1" s="1"/>
  <c r="FR30" i="1"/>
  <c r="GL30" i="1"/>
  <c r="GN30" i="1"/>
  <c r="GP30" i="1"/>
  <c r="GV30" i="1"/>
  <c r="HC30" i="1" s="1"/>
  <c r="GX30" i="1" s="1"/>
  <c r="CJ35" i="1" s="1"/>
  <c r="P31" i="1"/>
  <c r="R31" i="1"/>
  <c r="GK31" i="1" s="1"/>
  <c r="T31" i="1"/>
  <c r="AC31" i="1"/>
  <c r="AD31" i="1"/>
  <c r="AB31" i="1" s="1"/>
  <c r="AE31" i="1"/>
  <c r="Q31" i="1" s="1"/>
  <c r="AF31" i="1"/>
  <c r="AG31" i="1"/>
  <c r="AH31" i="1"/>
  <c r="CV31" i="1" s="1"/>
  <c r="U31" i="1" s="1"/>
  <c r="AI31" i="1"/>
  <c r="AJ31" i="1"/>
  <c r="CX31" i="1" s="1"/>
  <c r="W31" i="1" s="1"/>
  <c r="CQ31" i="1"/>
  <c r="CR31" i="1"/>
  <c r="CS31" i="1"/>
  <c r="CU31" i="1"/>
  <c r="CW31" i="1"/>
  <c r="V31" i="1" s="1"/>
  <c r="AI35" i="1" s="1"/>
  <c r="FR31" i="1"/>
  <c r="BY35" i="1" s="1"/>
  <c r="GL31" i="1"/>
  <c r="GN31" i="1"/>
  <c r="GP31" i="1"/>
  <c r="GV31" i="1"/>
  <c r="GX31" i="1"/>
  <c r="HC31" i="1"/>
  <c r="S32" i="1"/>
  <c r="CY32" i="1" s="1"/>
  <c r="X32" i="1" s="1"/>
  <c r="U32" i="1"/>
  <c r="Y32" i="1"/>
  <c r="AC32" i="1"/>
  <c r="AE32" i="1"/>
  <c r="AF32" i="1"/>
  <c r="AG32" i="1"/>
  <c r="CU32" i="1" s="1"/>
  <c r="T32" i="1" s="1"/>
  <c r="AG35" i="1" s="1"/>
  <c r="AH32" i="1"/>
  <c r="AI32" i="1"/>
  <c r="CW32" i="1" s="1"/>
  <c r="V32" i="1" s="1"/>
  <c r="AJ32" i="1"/>
  <c r="CT32" i="1"/>
  <c r="CV32" i="1"/>
  <c r="CX32" i="1"/>
  <c r="W32" i="1" s="1"/>
  <c r="CZ32" i="1"/>
  <c r="FR32" i="1"/>
  <c r="GL32" i="1"/>
  <c r="GN32" i="1"/>
  <c r="GP32" i="1"/>
  <c r="GV32" i="1"/>
  <c r="HC32" i="1"/>
  <c r="GX32" i="1" s="1"/>
  <c r="I33" i="1"/>
  <c r="S33" i="1"/>
  <c r="CY33" i="1" s="1"/>
  <c r="X33" i="1" s="1"/>
  <c r="W33" i="1"/>
  <c r="AC33" i="1"/>
  <c r="AE33" i="1"/>
  <c r="AF33" i="1"/>
  <c r="AG33" i="1"/>
  <c r="CU33" i="1" s="1"/>
  <c r="T33" i="1" s="1"/>
  <c r="AH33" i="1"/>
  <c r="AI33" i="1"/>
  <c r="CW33" i="1" s="1"/>
  <c r="V33" i="1" s="1"/>
  <c r="AJ33" i="1"/>
  <c r="CR33" i="1"/>
  <c r="CT33" i="1"/>
  <c r="CV33" i="1"/>
  <c r="U33" i="1" s="1"/>
  <c r="CX33" i="1"/>
  <c r="CZ33" i="1"/>
  <c r="Y33" i="1" s="1"/>
  <c r="FR33" i="1"/>
  <c r="GL33" i="1"/>
  <c r="GN33" i="1"/>
  <c r="GP33" i="1"/>
  <c r="GV33" i="1"/>
  <c r="HC33" i="1" s="1"/>
  <c r="GX33" i="1" s="1"/>
  <c r="B35" i="1"/>
  <c r="C35" i="1"/>
  <c r="C26" i="1" s="1"/>
  <c r="D35" i="1"/>
  <c r="D26" i="1" s="1"/>
  <c r="F35" i="1"/>
  <c r="F26" i="1" s="1"/>
  <c r="G35" i="1"/>
  <c r="G26" i="1" s="1"/>
  <c r="BX35" i="1"/>
  <c r="BZ35" i="1"/>
  <c r="BZ26" i="1" s="1"/>
  <c r="CB35" i="1"/>
  <c r="CB26" i="1" s="1"/>
  <c r="CD35" i="1"/>
  <c r="CD26" i="1" s="1"/>
  <c r="CK35" i="1"/>
  <c r="BB35" i="1" s="1"/>
  <c r="CL35" i="1"/>
  <c r="CL26" i="1" s="1"/>
  <c r="CM35" i="1"/>
  <c r="CM26" i="1" s="1"/>
  <c r="D65" i="1"/>
  <c r="E67" i="1"/>
  <c r="Z67" i="1"/>
  <c r="AA67" i="1"/>
  <c r="AM67" i="1"/>
  <c r="AN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EO67" i="1"/>
  <c r="EP67" i="1"/>
  <c r="EQ67" i="1"/>
  <c r="ER67" i="1"/>
  <c r="ES67" i="1"/>
  <c r="ET67" i="1"/>
  <c r="EU67" i="1"/>
  <c r="EV67" i="1"/>
  <c r="EW67" i="1"/>
  <c r="EX67" i="1"/>
  <c r="EY67" i="1"/>
  <c r="EZ67" i="1"/>
  <c r="FA67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P67" i="1"/>
  <c r="FQ67" i="1"/>
  <c r="FR67" i="1"/>
  <c r="FS67" i="1"/>
  <c r="FT67" i="1"/>
  <c r="FU67" i="1"/>
  <c r="FV67" i="1"/>
  <c r="FW67" i="1"/>
  <c r="FX67" i="1"/>
  <c r="FY67" i="1"/>
  <c r="FZ67" i="1"/>
  <c r="GA67" i="1"/>
  <c r="GB67" i="1"/>
  <c r="GC67" i="1"/>
  <c r="GD67" i="1"/>
  <c r="GE67" i="1"/>
  <c r="GF67" i="1"/>
  <c r="GG67" i="1"/>
  <c r="GH67" i="1"/>
  <c r="GI67" i="1"/>
  <c r="GJ67" i="1"/>
  <c r="GK67" i="1"/>
  <c r="GL67" i="1"/>
  <c r="GM67" i="1"/>
  <c r="GN67" i="1"/>
  <c r="GO67" i="1"/>
  <c r="GP67" i="1"/>
  <c r="GQ67" i="1"/>
  <c r="GR67" i="1"/>
  <c r="GS67" i="1"/>
  <c r="GT67" i="1"/>
  <c r="GU67" i="1"/>
  <c r="GV67" i="1"/>
  <c r="GW67" i="1"/>
  <c r="GX67" i="1"/>
  <c r="S69" i="1"/>
  <c r="CZ69" i="1" s="1"/>
  <c r="Y69" i="1" s="1"/>
  <c r="W69" i="1"/>
  <c r="AC69" i="1"/>
  <c r="AE69" i="1"/>
  <c r="AF69" i="1"/>
  <c r="AG69" i="1"/>
  <c r="AH69" i="1"/>
  <c r="AI69" i="1"/>
  <c r="AJ69" i="1"/>
  <c r="CR69" i="1"/>
  <c r="CT69" i="1"/>
  <c r="CU69" i="1"/>
  <c r="T69" i="1" s="1"/>
  <c r="CV69" i="1"/>
  <c r="U69" i="1" s="1"/>
  <c r="CW69" i="1"/>
  <c r="V69" i="1" s="1"/>
  <c r="CX69" i="1"/>
  <c r="CY69" i="1"/>
  <c r="X69" i="1" s="1"/>
  <c r="FR69" i="1"/>
  <c r="GL69" i="1"/>
  <c r="GN69" i="1"/>
  <c r="GO69" i="1"/>
  <c r="GV69" i="1"/>
  <c r="GX69" i="1"/>
  <c r="HC69" i="1"/>
  <c r="S70" i="1"/>
  <c r="CY70" i="1" s="1"/>
  <c r="X70" i="1" s="1"/>
  <c r="AC70" i="1"/>
  <c r="P70" i="1" s="1"/>
  <c r="AE70" i="1"/>
  <c r="R70" i="1" s="1"/>
  <c r="GK70" i="1" s="1"/>
  <c r="AF70" i="1"/>
  <c r="AG70" i="1"/>
  <c r="CU70" i="1" s="1"/>
  <c r="T70" i="1" s="1"/>
  <c r="AH70" i="1"/>
  <c r="AI70" i="1"/>
  <c r="CW70" i="1" s="1"/>
  <c r="V70" i="1" s="1"/>
  <c r="AJ70" i="1"/>
  <c r="CR70" i="1"/>
  <c r="CT70" i="1"/>
  <c r="CV70" i="1"/>
  <c r="U70" i="1" s="1"/>
  <c r="CX70" i="1"/>
  <c r="W70" i="1" s="1"/>
  <c r="CZ70" i="1"/>
  <c r="Y70" i="1" s="1"/>
  <c r="FR70" i="1"/>
  <c r="GL70" i="1"/>
  <c r="GN70" i="1"/>
  <c r="GO70" i="1"/>
  <c r="GV70" i="1"/>
  <c r="HC70" i="1"/>
  <c r="GX70" i="1" s="1"/>
  <c r="P71" i="1"/>
  <c r="R71" i="1"/>
  <c r="GK71" i="1" s="1"/>
  <c r="AC71" i="1"/>
  <c r="AD71" i="1"/>
  <c r="AB71" i="1" s="1"/>
  <c r="AE71" i="1"/>
  <c r="Q71" i="1" s="1"/>
  <c r="AF71" i="1"/>
  <c r="S71" i="1" s="1"/>
  <c r="AG71" i="1"/>
  <c r="AH71" i="1"/>
  <c r="CV71" i="1" s="1"/>
  <c r="U71" i="1" s="1"/>
  <c r="AI71" i="1"/>
  <c r="AJ71" i="1"/>
  <c r="CX71" i="1" s="1"/>
  <c r="W71" i="1" s="1"/>
  <c r="CQ71" i="1"/>
  <c r="CR71" i="1"/>
  <c r="CS71" i="1"/>
  <c r="CU71" i="1"/>
  <c r="T71" i="1" s="1"/>
  <c r="CW71" i="1"/>
  <c r="V71" i="1" s="1"/>
  <c r="FR71" i="1"/>
  <c r="GL71" i="1"/>
  <c r="GN71" i="1"/>
  <c r="GO71" i="1"/>
  <c r="GV71" i="1"/>
  <c r="GX71" i="1"/>
  <c r="HC71" i="1"/>
  <c r="S72" i="1"/>
  <c r="CY72" i="1" s="1"/>
  <c r="X72" i="1" s="1"/>
  <c r="AC72" i="1"/>
  <c r="AE72" i="1"/>
  <c r="AF72" i="1"/>
  <c r="AG72" i="1"/>
  <c r="CU72" i="1" s="1"/>
  <c r="T72" i="1" s="1"/>
  <c r="AH72" i="1"/>
  <c r="AI72" i="1"/>
  <c r="CW72" i="1" s="1"/>
  <c r="V72" i="1" s="1"/>
  <c r="AJ72" i="1"/>
  <c r="CR72" i="1"/>
  <c r="CT72" i="1"/>
  <c r="CV72" i="1"/>
  <c r="U72" i="1" s="1"/>
  <c r="CX72" i="1"/>
  <c r="W72" i="1" s="1"/>
  <c r="CZ72" i="1"/>
  <c r="Y72" i="1" s="1"/>
  <c r="FR72" i="1"/>
  <c r="GL72" i="1"/>
  <c r="GN72" i="1"/>
  <c r="GO72" i="1"/>
  <c r="GV72" i="1"/>
  <c r="HC72" i="1"/>
  <c r="GX72" i="1" s="1"/>
  <c r="P73" i="1"/>
  <c r="R73" i="1"/>
  <c r="GK73" i="1" s="1"/>
  <c r="V73" i="1"/>
  <c r="AC73" i="1"/>
  <c r="AD73" i="1"/>
  <c r="AB73" i="1" s="1"/>
  <c r="AE73" i="1"/>
  <c r="Q73" i="1" s="1"/>
  <c r="AF73" i="1"/>
  <c r="AG73" i="1"/>
  <c r="AH73" i="1"/>
  <c r="CV73" i="1" s="1"/>
  <c r="U73" i="1" s="1"/>
  <c r="AI73" i="1"/>
  <c r="AJ73" i="1"/>
  <c r="CX73" i="1" s="1"/>
  <c r="W73" i="1" s="1"/>
  <c r="CQ73" i="1"/>
  <c r="CR73" i="1"/>
  <c r="CS73" i="1"/>
  <c r="CU73" i="1"/>
  <c r="T73" i="1" s="1"/>
  <c r="CW73" i="1"/>
  <c r="FR73" i="1"/>
  <c r="GL73" i="1"/>
  <c r="GN73" i="1"/>
  <c r="GO73" i="1"/>
  <c r="GV73" i="1"/>
  <c r="GX73" i="1"/>
  <c r="HC73" i="1"/>
  <c r="S74" i="1"/>
  <c r="CY74" i="1" s="1"/>
  <c r="X74" i="1" s="1"/>
  <c r="U74" i="1"/>
  <c r="Y74" i="1"/>
  <c r="AC74" i="1"/>
  <c r="AE74" i="1"/>
  <c r="AF74" i="1"/>
  <c r="AG74" i="1"/>
  <c r="CU74" i="1" s="1"/>
  <c r="T74" i="1" s="1"/>
  <c r="AH74" i="1"/>
  <c r="AI74" i="1"/>
  <c r="CW74" i="1" s="1"/>
  <c r="V74" i="1" s="1"/>
  <c r="AJ74" i="1"/>
  <c r="CT74" i="1"/>
  <c r="CV74" i="1"/>
  <c r="CX74" i="1"/>
  <c r="W74" i="1" s="1"/>
  <c r="AJ77" i="1" s="1"/>
  <c r="CZ74" i="1"/>
  <c r="FR74" i="1"/>
  <c r="GL74" i="1"/>
  <c r="GN74" i="1"/>
  <c r="GO74" i="1"/>
  <c r="GV74" i="1"/>
  <c r="HC74" i="1" s="1"/>
  <c r="GX74" i="1" s="1"/>
  <c r="P75" i="1"/>
  <c r="R75" i="1"/>
  <c r="GK75" i="1" s="1"/>
  <c r="T75" i="1"/>
  <c r="AC75" i="1"/>
  <c r="AD75" i="1"/>
  <c r="AB75" i="1" s="1"/>
  <c r="AE75" i="1"/>
  <c r="Q75" i="1" s="1"/>
  <c r="AF75" i="1"/>
  <c r="AG75" i="1"/>
  <c r="AH75" i="1"/>
  <c r="CV75" i="1" s="1"/>
  <c r="U75" i="1" s="1"/>
  <c r="AI75" i="1"/>
  <c r="AJ75" i="1"/>
  <c r="CX75" i="1" s="1"/>
  <c r="W75" i="1" s="1"/>
  <c r="CQ75" i="1"/>
  <c r="CR75" i="1"/>
  <c r="CS75" i="1"/>
  <c r="CU75" i="1"/>
  <c r="CW75" i="1"/>
  <c r="V75" i="1" s="1"/>
  <c r="FR75" i="1"/>
  <c r="BY77" i="1" s="1"/>
  <c r="GL75" i="1"/>
  <c r="GN75" i="1"/>
  <c r="GO75" i="1"/>
  <c r="GV75" i="1"/>
  <c r="GX75" i="1"/>
  <c r="HC75" i="1"/>
  <c r="B77" i="1"/>
  <c r="B67" i="1" s="1"/>
  <c r="C77" i="1"/>
  <c r="C67" i="1" s="1"/>
  <c r="D77" i="1"/>
  <c r="D67" i="1" s="1"/>
  <c r="F77" i="1"/>
  <c r="F67" i="1" s="1"/>
  <c r="G77" i="1"/>
  <c r="G67" i="1" s="1"/>
  <c r="AH77" i="1"/>
  <c r="AT77" i="1"/>
  <c r="AT67" i="1" s="1"/>
  <c r="BB77" i="1"/>
  <c r="BB67" i="1" s="1"/>
  <c r="BX77" i="1"/>
  <c r="BX67" i="1" s="1"/>
  <c r="CC77" i="1"/>
  <c r="CC67" i="1" s="1"/>
  <c r="CK77" i="1"/>
  <c r="CK67" i="1" s="1"/>
  <c r="CL77" i="1"/>
  <c r="CM77" i="1"/>
  <c r="CM67" i="1" s="1"/>
  <c r="F95" i="1"/>
  <c r="D107" i="1"/>
  <c r="E109" i="1"/>
  <c r="Z109" i="1"/>
  <c r="AA109" i="1"/>
  <c r="AM109" i="1"/>
  <c r="AN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DK109" i="1"/>
  <c r="DL109" i="1"/>
  <c r="DM109" i="1"/>
  <c r="DN109" i="1"/>
  <c r="DO109" i="1"/>
  <c r="DP109" i="1"/>
  <c r="DQ109" i="1"/>
  <c r="DR109" i="1"/>
  <c r="DS109" i="1"/>
  <c r="DT109" i="1"/>
  <c r="DU109" i="1"/>
  <c r="DV109" i="1"/>
  <c r="DW109" i="1"/>
  <c r="DX109" i="1"/>
  <c r="DY109" i="1"/>
  <c r="DZ109" i="1"/>
  <c r="EA109" i="1"/>
  <c r="EB109" i="1"/>
  <c r="EC109" i="1"/>
  <c r="ED109" i="1"/>
  <c r="EE109" i="1"/>
  <c r="EF109" i="1"/>
  <c r="EG109" i="1"/>
  <c r="EH109" i="1"/>
  <c r="EI109" i="1"/>
  <c r="EJ109" i="1"/>
  <c r="EK109" i="1"/>
  <c r="EL109" i="1"/>
  <c r="EM109" i="1"/>
  <c r="EN109" i="1"/>
  <c r="EO109" i="1"/>
  <c r="EP109" i="1"/>
  <c r="EQ109" i="1"/>
  <c r="ER109" i="1"/>
  <c r="ES109" i="1"/>
  <c r="ET109" i="1"/>
  <c r="EU109" i="1"/>
  <c r="EV109" i="1"/>
  <c r="EW109" i="1"/>
  <c r="EX109" i="1"/>
  <c r="EY109" i="1"/>
  <c r="EZ109" i="1"/>
  <c r="FA109" i="1"/>
  <c r="FB109" i="1"/>
  <c r="FC109" i="1"/>
  <c r="FD109" i="1"/>
  <c r="FE109" i="1"/>
  <c r="FF109" i="1"/>
  <c r="FG109" i="1"/>
  <c r="FH109" i="1"/>
  <c r="FI109" i="1"/>
  <c r="FJ109" i="1"/>
  <c r="FK109" i="1"/>
  <c r="FL109" i="1"/>
  <c r="FM109" i="1"/>
  <c r="FN109" i="1"/>
  <c r="FO109" i="1"/>
  <c r="FP109" i="1"/>
  <c r="FQ109" i="1"/>
  <c r="FR109" i="1"/>
  <c r="FS109" i="1"/>
  <c r="FT109" i="1"/>
  <c r="FU109" i="1"/>
  <c r="FV109" i="1"/>
  <c r="FW109" i="1"/>
  <c r="FX109" i="1"/>
  <c r="FY109" i="1"/>
  <c r="FZ109" i="1"/>
  <c r="GA109" i="1"/>
  <c r="GB109" i="1"/>
  <c r="GC109" i="1"/>
  <c r="GD109" i="1"/>
  <c r="GE109" i="1"/>
  <c r="GF109" i="1"/>
  <c r="GG109" i="1"/>
  <c r="GH109" i="1"/>
  <c r="GI109" i="1"/>
  <c r="GJ109" i="1"/>
  <c r="GK109" i="1"/>
  <c r="GL109" i="1"/>
  <c r="GM109" i="1"/>
  <c r="GN109" i="1"/>
  <c r="GO109" i="1"/>
  <c r="GP109" i="1"/>
  <c r="GQ109" i="1"/>
  <c r="GR109" i="1"/>
  <c r="GS109" i="1"/>
  <c r="GT109" i="1"/>
  <c r="GU109" i="1"/>
  <c r="GV109" i="1"/>
  <c r="GW109" i="1"/>
  <c r="GX109" i="1"/>
  <c r="S111" i="1"/>
  <c r="CY111" i="1" s="1"/>
  <c r="X111" i="1" s="1"/>
  <c r="AB111" i="1"/>
  <c r="AC111" i="1"/>
  <c r="P111" i="1" s="1"/>
  <c r="AE111" i="1"/>
  <c r="R111" i="1" s="1"/>
  <c r="AF111" i="1"/>
  <c r="AG111" i="1"/>
  <c r="CU111" i="1" s="1"/>
  <c r="T111" i="1" s="1"/>
  <c r="AH111" i="1"/>
  <c r="AI111" i="1"/>
  <c r="CW111" i="1" s="1"/>
  <c r="V111" i="1" s="1"/>
  <c r="AJ111" i="1"/>
  <c r="CR111" i="1"/>
  <c r="CT111" i="1"/>
  <c r="CV111" i="1"/>
  <c r="U111" i="1" s="1"/>
  <c r="CX111" i="1"/>
  <c r="W111" i="1" s="1"/>
  <c r="CZ111" i="1"/>
  <c r="Y111" i="1" s="1"/>
  <c r="FR111" i="1"/>
  <c r="GL111" i="1"/>
  <c r="GO111" i="1"/>
  <c r="GP111" i="1"/>
  <c r="GV111" i="1"/>
  <c r="HC111" i="1"/>
  <c r="GX111" i="1" s="1"/>
  <c r="CJ114" i="1" s="1"/>
  <c r="P112" i="1"/>
  <c r="R112" i="1"/>
  <c r="GK112" i="1" s="1"/>
  <c r="AC112" i="1"/>
  <c r="AD112" i="1"/>
  <c r="AB112" i="1" s="1"/>
  <c r="AE112" i="1"/>
  <c r="Q112" i="1" s="1"/>
  <c r="AF112" i="1"/>
  <c r="S112" i="1" s="1"/>
  <c r="AG112" i="1"/>
  <c r="AH112" i="1"/>
  <c r="CV112" i="1" s="1"/>
  <c r="U112" i="1" s="1"/>
  <c r="AI112" i="1"/>
  <c r="AJ112" i="1"/>
  <c r="CX112" i="1" s="1"/>
  <c r="W112" i="1" s="1"/>
  <c r="CQ112" i="1"/>
  <c r="CR112" i="1"/>
  <c r="CS112" i="1"/>
  <c r="CU112" i="1"/>
  <c r="T112" i="1" s="1"/>
  <c r="CW112" i="1"/>
  <c r="V112" i="1" s="1"/>
  <c r="FR112" i="1"/>
  <c r="GL112" i="1"/>
  <c r="BZ114" i="1" s="1"/>
  <c r="GN112" i="1"/>
  <c r="GP112" i="1"/>
  <c r="CD114" i="1" s="1"/>
  <c r="GV112" i="1"/>
  <c r="GX112" i="1"/>
  <c r="HC112" i="1"/>
  <c r="B114" i="1"/>
  <c r="B109" i="1" s="1"/>
  <c r="C114" i="1"/>
  <c r="C109" i="1" s="1"/>
  <c r="D114" i="1"/>
  <c r="D109" i="1" s="1"/>
  <c r="F114" i="1"/>
  <c r="F109" i="1" s="1"/>
  <c r="G114" i="1"/>
  <c r="G109" i="1" s="1"/>
  <c r="BX114" i="1"/>
  <c r="BX109" i="1" s="1"/>
  <c r="BY114" i="1"/>
  <c r="BY109" i="1" s="1"/>
  <c r="CK114" i="1"/>
  <c r="BB114" i="1" s="1"/>
  <c r="CL114" i="1"/>
  <c r="CL109" i="1" s="1"/>
  <c r="CM114" i="1"/>
  <c r="CM109" i="1" s="1"/>
  <c r="B144" i="1"/>
  <c r="B22" i="1" s="1"/>
  <c r="C144" i="1"/>
  <c r="C22" i="1" s="1"/>
  <c r="D144" i="1"/>
  <c r="D22" i="1" s="1"/>
  <c r="F144" i="1"/>
  <c r="F22" i="1" s="1"/>
  <c r="G144" i="1"/>
  <c r="G22" i="1" s="1"/>
  <c r="B174" i="1"/>
  <c r="B18" i="1" s="1"/>
  <c r="C174" i="1"/>
  <c r="C18" i="1" s="1"/>
  <c r="D174" i="1"/>
  <c r="D18" i="1" s="1"/>
  <c r="F174" i="1"/>
  <c r="F18" i="1" s="1"/>
  <c r="G174" i="1"/>
  <c r="G18" i="1" l="1"/>
  <c r="AL169" i="6"/>
  <c r="A162" i="5"/>
  <c r="A169" i="6"/>
  <c r="AL162" i="5"/>
  <c r="I23" i="5"/>
  <c r="I25" i="5"/>
  <c r="J162" i="5"/>
  <c r="I161" i="6"/>
  <c r="K151" i="6"/>
  <c r="K165" i="6"/>
  <c r="I151" i="6"/>
  <c r="K161" i="6"/>
  <c r="I169" i="6"/>
  <c r="I165" i="6"/>
  <c r="I103" i="6"/>
  <c r="K103" i="6"/>
  <c r="H144" i="5"/>
  <c r="I26" i="5"/>
  <c r="J158" i="5"/>
  <c r="J144" i="5"/>
  <c r="H96" i="5"/>
  <c r="I21" i="5"/>
  <c r="H162" i="5"/>
  <c r="H158" i="5"/>
  <c r="J96" i="5"/>
  <c r="BB109" i="1"/>
  <c r="BB144" i="1"/>
  <c r="F127" i="1"/>
  <c r="CZ112" i="1"/>
  <c r="Y112" i="1" s="1"/>
  <c r="AF114" i="1"/>
  <c r="CY112" i="1"/>
  <c r="X112" i="1" s="1"/>
  <c r="CJ109" i="1"/>
  <c r="BA114" i="1"/>
  <c r="AL114" i="1"/>
  <c r="AH114" i="1"/>
  <c r="AI114" i="1"/>
  <c r="AG114" i="1"/>
  <c r="AE114" i="1"/>
  <c r="GK111" i="1"/>
  <c r="BY67" i="1"/>
  <c r="AP77" i="1"/>
  <c r="CD109" i="1"/>
  <c r="AU114" i="1"/>
  <c r="BZ109" i="1"/>
  <c r="AQ114" i="1"/>
  <c r="CG114" i="1"/>
  <c r="CI114" i="1"/>
  <c r="CP112" i="1"/>
  <c r="O112" i="1" s="1"/>
  <c r="AJ114" i="1"/>
  <c r="AC114" i="1"/>
  <c r="AK114" i="1"/>
  <c r="AJ67" i="1"/>
  <c r="W77" i="1"/>
  <c r="BD114" i="1"/>
  <c r="AP114" i="1"/>
  <c r="Q111" i="1"/>
  <c r="AD114" i="1" s="1"/>
  <c r="CK109" i="1"/>
  <c r="CL67" i="1"/>
  <c r="BC77" i="1"/>
  <c r="R74" i="1"/>
  <c r="GK74" i="1" s="1"/>
  <c r="AD74" i="1"/>
  <c r="CS74" i="1"/>
  <c r="Q74" i="1"/>
  <c r="BZ77" i="1"/>
  <c r="S73" i="1"/>
  <c r="CT73" i="1"/>
  <c r="P72" i="1"/>
  <c r="CQ72" i="1"/>
  <c r="CZ71" i="1"/>
  <c r="Y71" i="1" s="1"/>
  <c r="CY71" i="1"/>
  <c r="X71" i="1" s="1"/>
  <c r="CJ77" i="1"/>
  <c r="AI77" i="1"/>
  <c r="AG77" i="1"/>
  <c r="BC114" i="1"/>
  <c r="AO114" i="1"/>
  <c r="CT112" i="1"/>
  <c r="CS111" i="1"/>
  <c r="CQ111" i="1"/>
  <c r="AD111" i="1"/>
  <c r="F90" i="1"/>
  <c r="BD77" i="1"/>
  <c r="AH67" i="1"/>
  <c r="U77" i="1"/>
  <c r="S75" i="1"/>
  <c r="CT75" i="1"/>
  <c r="CR74" i="1"/>
  <c r="P74" i="1"/>
  <c r="CP74" i="1" s="1"/>
  <c r="O74" i="1" s="1"/>
  <c r="AB74" i="1"/>
  <c r="CQ74" i="1"/>
  <c r="CB77" i="1"/>
  <c r="CP73" i="1"/>
  <c r="O73" i="1" s="1"/>
  <c r="R72" i="1"/>
  <c r="GK72" i="1" s="1"/>
  <c r="AD72" i="1"/>
  <c r="AB72" i="1" s="1"/>
  <c r="CS72" i="1"/>
  <c r="Q72" i="1"/>
  <c r="CP71" i="1"/>
  <c r="O71" i="1" s="1"/>
  <c r="T35" i="1"/>
  <c r="AG26" i="1"/>
  <c r="AI26" i="1"/>
  <c r="V35" i="1"/>
  <c r="CJ26" i="1"/>
  <c r="BA35" i="1"/>
  <c r="Q70" i="1"/>
  <c r="CP70" i="1" s="1"/>
  <c r="O70" i="1" s="1"/>
  <c r="P69" i="1"/>
  <c r="CQ69" i="1"/>
  <c r="BX26" i="1"/>
  <c r="CG35" i="1"/>
  <c r="AS35" i="1"/>
  <c r="AO35" i="1"/>
  <c r="P33" i="1"/>
  <c r="CQ33" i="1"/>
  <c r="R32" i="1"/>
  <c r="GK32" i="1" s="1"/>
  <c r="AD32" i="1"/>
  <c r="CS32" i="1"/>
  <c r="Q32" i="1"/>
  <c r="AP35" i="1"/>
  <c r="CI35" i="1"/>
  <c r="P30" i="1"/>
  <c r="CQ30" i="1"/>
  <c r="AJ35" i="1"/>
  <c r="AH35" i="1"/>
  <c r="AO77" i="1"/>
  <c r="CT71" i="1"/>
  <c r="CS70" i="1"/>
  <c r="CQ70" i="1"/>
  <c r="AD70" i="1"/>
  <c r="AB70" i="1"/>
  <c r="R69" i="1"/>
  <c r="AD69" i="1"/>
  <c r="AB69" i="1" s="1"/>
  <c r="CS69" i="1"/>
  <c r="Q69" i="1"/>
  <c r="AD77" i="1" s="1"/>
  <c r="BB26" i="1"/>
  <c r="F48" i="1"/>
  <c r="BC35" i="1"/>
  <c r="AU35" i="1"/>
  <c r="AQ35" i="1"/>
  <c r="R33" i="1"/>
  <c r="GK33" i="1" s="1"/>
  <c r="AD33" i="1"/>
  <c r="AB33" i="1" s="1"/>
  <c r="CS33" i="1"/>
  <c r="Q33" i="1"/>
  <c r="CR32" i="1"/>
  <c r="P32" i="1"/>
  <c r="CP32" i="1" s="1"/>
  <c r="O32" i="1" s="1"/>
  <c r="AB32" i="1"/>
  <c r="CQ32" i="1"/>
  <c r="S31" i="1"/>
  <c r="CP31" i="1" s="1"/>
  <c r="O31" i="1" s="1"/>
  <c r="CT31" i="1"/>
  <c r="R30" i="1"/>
  <c r="GK30" i="1" s="1"/>
  <c r="AD30" i="1"/>
  <c r="AB30" i="1" s="1"/>
  <c r="CS30" i="1"/>
  <c r="Q30" i="1"/>
  <c r="AD35" i="1" s="1"/>
  <c r="S29" i="1"/>
  <c r="CP29" i="1" s="1"/>
  <c r="O29" i="1" s="1"/>
  <c r="CT29" i="1"/>
  <c r="R28" i="1"/>
  <c r="AD28" i="1"/>
  <c r="CS28" i="1"/>
  <c r="CR28" i="1"/>
  <c r="BY26" i="1"/>
  <c r="BD35" i="1"/>
  <c r="P28" i="1"/>
  <c r="AB28" i="1"/>
  <c r="CQ28" i="1"/>
  <c r="GP70" i="1" l="1"/>
  <c r="GM70" i="1"/>
  <c r="AD26" i="1"/>
  <c r="Q35" i="1"/>
  <c r="GK28" i="1"/>
  <c r="AE35" i="1"/>
  <c r="GM32" i="1"/>
  <c r="GO32" i="1"/>
  <c r="AQ26" i="1"/>
  <c r="F45" i="1"/>
  <c r="BC26" i="1"/>
  <c r="F51" i="1"/>
  <c r="BC144" i="1"/>
  <c r="GK69" i="1"/>
  <c r="AE77" i="1"/>
  <c r="AO67" i="1"/>
  <c r="F81" i="1"/>
  <c r="AJ26" i="1"/>
  <c r="W35" i="1"/>
  <c r="AP26" i="1"/>
  <c r="F44" i="1"/>
  <c r="AP144" i="1"/>
  <c r="AO26" i="1"/>
  <c r="F39" i="1"/>
  <c r="AO144" i="1"/>
  <c r="AX35" i="1"/>
  <c r="CG26" i="1"/>
  <c r="CP69" i="1"/>
  <c r="O69" i="1" s="1"/>
  <c r="AC77" i="1"/>
  <c r="T26" i="1"/>
  <c r="F56" i="1"/>
  <c r="GM71" i="1"/>
  <c r="GP71" i="1"/>
  <c r="CB67" i="1"/>
  <c r="AS77" i="1"/>
  <c r="CZ75" i="1"/>
  <c r="Y75" i="1" s="1"/>
  <c r="CY75" i="1"/>
  <c r="X75" i="1" s="1"/>
  <c r="F130" i="1"/>
  <c r="BC109" i="1"/>
  <c r="AG67" i="1"/>
  <c r="T77" i="1"/>
  <c r="CJ67" i="1"/>
  <c r="BA77" i="1"/>
  <c r="BZ67" i="1"/>
  <c r="AQ77" i="1"/>
  <c r="CG77" i="1"/>
  <c r="BC67" i="1"/>
  <c r="F93" i="1"/>
  <c r="AP109" i="1"/>
  <c r="F123" i="1"/>
  <c r="W67" i="1"/>
  <c r="F101" i="1"/>
  <c r="X114" i="1"/>
  <c r="AK109" i="1"/>
  <c r="CF114" i="1"/>
  <c r="CH114" i="1"/>
  <c r="P114" i="1"/>
  <c r="CE114" i="1"/>
  <c r="AC109" i="1"/>
  <c r="GM112" i="1"/>
  <c r="GO112" i="1"/>
  <c r="CC114" i="1" s="1"/>
  <c r="AX114" i="1"/>
  <c r="CG109" i="1"/>
  <c r="AP67" i="1"/>
  <c r="F86" i="1"/>
  <c r="T114" i="1"/>
  <c r="AG109" i="1"/>
  <c r="AH109" i="1"/>
  <c r="U114" i="1"/>
  <c r="F134" i="1"/>
  <c r="BA109" i="1"/>
  <c r="BB22" i="1"/>
  <c r="F157" i="1"/>
  <c r="BB174" i="1"/>
  <c r="CP28" i="1"/>
  <c r="O28" i="1" s="1"/>
  <c r="AC35" i="1"/>
  <c r="BD26" i="1"/>
  <c r="F60" i="1"/>
  <c r="BD144" i="1"/>
  <c r="CZ29" i="1"/>
  <c r="Y29" i="1" s="1"/>
  <c r="AF35" i="1"/>
  <c r="CY29" i="1"/>
  <c r="X29" i="1" s="1"/>
  <c r="GO29" i="1" s="1"/>
  <c r="CZ31" i="1"/>
  <c r="Y31" i="1" s="1"/>
  <c r="CY31" i="1"/>
  <c r="X31" i="1" s="1"/>
  <c r="GM31" i="1" s="1"/>
  <c r="F54" i="1"/>
  <c r="AU26" i="1"/>
  <c r="AD67" i="1"/>
  <c r="Q77" i="1"/>
  <c r="AH26" i="1"/>
  <c r="U35" i="1"/>
  <c r="CP30" i="1"/>
  <c r="O30" i="1" s="1"/>
  <c r="CI26" i="1"/>
  <c r="AZ35" i="1"/>
  <c r="CP33" i="1"/>
  <c r="O33" i="1" s="1"/>
  <c r="AS26" i="1"/>
  <c r="F52" i="1"/>
  <c r="BA26" i="1"/>
  <c r="F55" i="1"/>
  <c r="BA144" i="1"/>
  <c r="V26" i="1"/>
  <c r="F58" i="1"/>
  <c r="GP74" i="1"/>
  <c r="GM74" i="1"/>
  <c r="U67" i="1"/>
  <c r="F99" i="1"/>
  <c r="BD67" i="1"/>
  <c r="F102" i="1"/>
  <c r="F118" i="1"/>
  <c r="AO109" i="1"/>
  <c r="AI67" i="1"/>
  <c r="V77" i="1"/>
  <c r="CP72" i="1"/>
  <c r="O72" i="1" s="1"/>
  <c r="CZ73" i="1"/>
  <c r="Y73" i="1" s="1"/>
  <c r="AL77" i="1" s="1"/>
  <c r="CY73" i="1"/>
  <c r="X73" i="1" s="1"/>
  <c r="AK77" i="1" s="1"/>
  <c r="AF77" i="1"/>
  <c r="CP75" i="1"/>
  <c r="O75" i="1" s="1"/>
  <c r="AD109" i="1"/>
  <c r="Q114" i="1"/>
  <c r="BD109" i="1"/>
  <c r="F139" i="1"/>
  <c r="CP111" i="1"/>
  <c r="O111" i="1" s="1"/>
  <c r="AJ109" i="1"/>
  <c r="W114" i="1"/>
  <c r="CI109" i="1"/>
  <c r="AZ114" i="1"/>
  <c r="F124" i="1"/>
  <c r="AQ109" i="1"/>
  <c r="F133" i="1"/>
  <c r="AU109" i="1"/>
  <c r="CI77" i="1"/>
  <c r="R114" i="1"/>
  <c r="AE109" i="1"/>
  <c r="V114" i="1"/>
  <c r="AI109" i="1"/>
  <c r="AL109" i="1"/>
  <c r="Y114" i="1"/>
  <c r="AF109" i="1"/>
  <c r="S114" i="1"/>
  <c r="AL67" i="1" l="1"/>
  <c r="Y77" i="1"/>
  <c r="GM75" i="1"/>
  <c r="GP75" i="1"/>
  <c r="AK67" i="1"/>
  <c r="X77" i="1"/>
  <c r="GP72" i="1"/>
  <c r="GM72" i="1"/>
  <c r="GM73" i="1"/>
  <c r="BA22" i="1"/>
  <c r="BA174" i="1"/>
  <c r="F164" i="1"/>
  <c r="GM33" i="1"/>
  <c r="GO33" i="1"/>
  <c r="U26" i="1"/>
  <c r="F57" i="1"/>
  <c r="U144" i="1"/>
  <c r="Q67" i="1"/>
  <c r="F89" i="1"/>
  <c r="AF26" i="1"/>
  <c r="S35" i="1"/>
  <c r="BD22" i="1"/>
  <c r="F169" i="1"/>
  <c r="BD174" i="1"/>
  <c r="GM28" i="1"/>
  <c r="GO28" i="1"/>
  <c r="AB35" i="1"/>
  <c r="F136" i="1"/>
  <c r="U109" i="1"/>
  <c r="CC109" i="1"/>
  <c r="AT114" i="1"/>
  <c r="P109" i="1"/>
  <c r="F117" i="1"/>
  <c r="CF109" i="1"/>
  <c r="AW114" i="1"/>
  <c r="X109" i="1"/>
  <c r="F140" i="1"/>
  <c r="AQ67" i="1"/>
  <c r="F87" i="1"/>
  <c r="AC67" i="1"/>
  <c r="CF77" i="1"/>
  <c r="CH77" i="1"/>
  <c r="P77" i="1"/>
  <c r="CE77" i="1"/>
  <c r="AO22" i="1"/>
  <c r="AO174" i="1"/>
  <c r="F148" i="1"/>
  <c r="F59" i="1"/>
  <c r="W26" i="1"/>
  <c r="W144" i="1"/>
  <c r="AE67" i="1"/>
  <c r="R77" i="1"/>
  <c r="BC22" i="1"/>
  <c r="BC174" i="1"/>
  <c r="F160" i="1"/>
  <c r="AE26" i="1"/>
  <c r="R35" i="1"/>
  <c r="Q26" i="1"/>
  <c r="F47" i="1"/>
  <c r="Q144" i="1"/>
  <c r="GO31" i="1"/>
  <c r="F129" i="1"/>
  <c r="S109" i="1"/>
  <c r="Y109" i="1"/>
  <c r="F141" i="1"/>
  <c r="CI67" i="1"/>
  <c r="AZ77" i="1"/>
  <c r="F126" i="1"/>
  <c r="Q109" i="1"/>
  <c r="V109" i="1"/>
  <c r="F137" i="1"/>
  <c r="R109" i="1"/>
  <c r="F128" i="1"/>
  <c r="AZ109" i="1"/>
  <c r="F125" i="1"/>
  <c r="F138" i="1"/>
  <c r="W109" i="1"/>
  <c r="GN111" i="1"/>
  <c r="CB114" i="1" s="1"/>
  <c r="AB114" i="1"/>
  <c r="GM111" i="1"/>
  <c r="CA114" i="1" s="1"/>
  <c r="AF67" i="1"/>
  <c r="S77" i="1"/>
  <c r="V67" i="1"/>
  <c r="F100" i="1"/>
  <c r="GP73" i="1"/>
  <c r="V144" i="1"/>
  <c r="AZ26" i="1"/>
  <c r="F46" i="1"/>
  <c r="AZ144" i="1"/>
  <c r="GM30" i="1"/>
  <c r="GO30" i="1"/>
  <c r="AK35" i="1"/>
  <c r="AL35" i="1"/>
  <c r="P35" i="1"/>
  <c r="CE35" i="1"/>
  <c r="AC26" i="1"/>
  <c r="CH35" i="1"/>
  <c r="CF35" i="1"/>
  <c r="BB18" i="1"/>
  <c r="F187" i="1"/>
  <c r="T109" i="1"/>
  <c r="F135" i="1"/>
  <c r="AX109" i="1"/>
  <c r="F121" i="1"/>
  <c r="CE109" i="1"/>
  <c r="AV114" i="1"/>
  <c r="CH109" i="1"/>
  <c r="AY114" i="1"/>
  <c r="CG67" i="1"/>
  <c r="AX77" i="1"/>
  <c r="BA67" i="1"/>
  <c r="F97" i="1"/>
  <c r="T67" i="1"/>
  <c r="F98" i="1"/>
  <c r="AS67" i="1"/>
  <c r="F94" i="1"/>
  <c r="T144" i="1"/>
  <c r="GM69" i="1"/>
  <c r="CA77" i="1" s="1"/>
  <c r="GP69" i="1"/>
  <c r="CD77" i="1" s="1"/>
  <c r="AB77" i="1"/>
  <c r="AX26" i="1"/>
  <c r="F42" i="1"/>
  <c r="AX144" i="1"/>
  <c r="AP22" i="1"/>
  <c r="F153" i="1"/>
  <c r="G16" i="2" s="1"/>
  <c r="G18" i="2" s="1"/>
  <c r="AP174" i="1"/>
  <c r="AQ144" i="1"/>
  <c r="GM29" i="1"/>
  <c r="AX22" i="1" l="1"/>
  <c r="F151" i="1"/>
  <c r="AX174" i="1"/>
  <c r="CD67" i="1"/>
  <c r="AU77" i="1"/>
  <c r="T22" i="1"/>
  <c r="F165" i="1"/>
  <c r="T174" i="1"/>
  <c r="CH26" i="1"/>
  <c r="AY35" i="1"/>
  <c r="CE26" i="1"/>
  <c r="AV35" i="1"/>
  <c r="AP18" i="1"/>
  <c r="F183" i="1"/>
  <c r="AB67" i="1"/>
  <c r="O77" i="1"/>
  <c r="CA67" i="1"/>
  <c r="AR77" i="1"/>
  <c r="AX67" i="1"/>
  <c r="F84" i="1"/>
  <c r="F122" i="1"/>
  <c r="AY109" i="1"/>
  <c r="AV109" i="1"/>
  <c r="F119" i="1"/>
  <c r="CF26" i="1"/>
  <c r="AW35" i="1"/>
  <c r="P26" i="1"/>
  <c r="F38" i="1"/>
  <c r="P144" i="1"/>
  <c r="X35" i="1"/>
  <c r="AK26" i="1"/>
  <c r="V22" i="1"/>
  <c r="F167" i="1"/>
  <c r="V174" i="1"/>
  <c r="S67" i="1"/>
  <c r="F92" i="1"/>
  <c r="CA109" i="1"/>
  <c r="AR114" i="1"/>
  <c r="CB109" i="1"/>
  <c r="AS114" i="1"/>
  <c r="Q22" i="1"/>
  <c r="F156" i="1"/>
  <c r="Q174" i="1"/>
  <c r="BC18" i="1"/>
  <c r="F190" i="1"/>
  <c r="R67" i="1"/>
  <c r="F91" i="1"/>
  <c r="W22" i="1"/>
  <c r="F168" i="1"/>
  <c r="W174" i="1"/>
  <c r="AO18" i="1"/>
  <c r="F178" i="1"/>
  <c r="CE67" i="1"/>
  <c r="AV77" i="1"/>
  <c r="CH67" i="1"/>
  <c r="AY77" i="1"/>
  <c r="CC35" i="1"/>
  <c r="BD18" i="1"/>
  <c r="F199" i="1"/>
  <c r="X67" i="1"/>
  <c r="F103" i="1"/>
  <c r="Y67" i="1"/>
  <c r="F104" i="1"/>
  <c r="AQ22" i="1"/>
  <c r="AQ174" i="1"/>
  <c r="F154" i="1"/>
  <c r="AL26" i="1"/>
  <c r="Y35" i="1"/>
  <c r="AZ22" i="1"/>
  <c r="F155" i="1"/>
  <c r="AZ174" i="1"/>
  <c r="AB109" i="1"/>
  <c r="O114" i="1"/>
  <c r="AZ67" i="1"/>
  <c r="F88" i="1"/>
  <c r="R26" i="1"/>
  <c r="F49" i="1"/>
  <c r="R144" i="1"/>
  <c r="P67" i="1"/>
  <c r="F80" i="1"/>
  <c r="CF67" i="1"/>
  <c r="AW77" i="1"/>
  <c r="F120" i="1"/>
  <c r="AW109" i="1"/>
  <c r="AT109" i="1"/>
  <c r="F132" i="1"/>
  <c r="AB26" i="1"/>
  <c r="O35" i="1"/>
  <c r="CA35" i="1"/>
  <c r="F50" i="1"/>
  <c r="S26" i="1"/>
  <c r="S144" i="1"/>
  <c r="U22" i="1"/>
  <c r="U174" i="1"/>
  <c r="F166" i="1"/>
  <c r="BA18" i="1"/>
  <c r="F194" i="1"/>
  <c r="U18" i="1" l="1"/>
  <c r="F196" i="1"/>
  <c r="S22" i="1"/>
  <c r="F159" i="1"/>
  <c r="J16" i="2" s="1"/>
  <c r="J18" i="2" s="1"/>
  <c r="S174" i="1"/>
  <c r="O26" i="1"/>
  <c r="F37" i="1"/>
  <c r="O144" i="1"/>
  <c r="AW67" i="1"/>
  <c r="F83" i="1"/>
  <c r="R22" i="1"/>
  <c r="R174" i="1"/>
  <c r="F158" i="1"/>
  <c r="Y26" i="1"/>
  <c r="F62" i="1"/>
  <c r="Y144" i="1"/>
  <c r="AY67" i="1"/>
  <c r="F85" i="1"/>
  <c r="AV67" i="1"/>
  <c r="F82" i="1"/>
  <c r="W18" i="1"/>
  <c r="F198" i="1"/>
  <c r="AS109" i="1"/>
  <c r="F131" i="1"/>
  <c r="AS144" i="1"/>
  <c r="AR109" i="1"/>
  <c r="F142" i="1"/>
  <c r="V18" i="1"/>
  <c r="F197" i="1"/>
  <c r="X26" i="1"/>
  <c r="F61" i="1"/>
  <c r="X144" i="1"/>
  <c r="AW26" i="1"/>
  <c r="F41" i="1"/>
  <c r="AW144" i="1"/>
  <c r="AR67" i="1"/>
  <c r="F105" i="1"/>
  <c r="O67" i="1"/>
  <c r="F79" i="1"/>
  <c r="AV26" i="1"/>
  <c r="F40" i="1"/>
  <c r="AV144" i="1"/>
  <c r="F43" i="1"/>
  <c r="AY26" i="1"/>
  <c r="AY144" i="1"/>
  <c r="T18" i="1"/>
  <c r="F195" i="1"/>
  <c r="CA26" i="1"/>
  <c r="AR35" i="1"/>
  <c r="F116" i="1"/>
  <c r="O109" i="1"/>
  <c r="AZ18" i="1"/>
  <c r="F185" i="1"/>
  <c r="AQ18" i="1"/>
  <c r="F184" i="1"/>
  <c r="AT35" i="1"/>
  <c r="CC26" i="1"/>
  <c r="Q18" i="1"/>
  <c r="F186" i="1"/>
  <c r="P22" i="1"/>
  <c r="F147" i="1"/>
  <c r="P174" i="1"/>
  <c r="AU67" i="1"/>
  <c r="F96" i="1"/>
  <c r="AU144" i="1"/>
  <c r="AX18" i="1"/>
  <c r="F181" i="1"/>
  <c r="AU22" i="1" l="1"/>
  <c r="F163" i="1"/>
  <c r="H16" i="2" s="1"/>
  <c r="H18" i="2" s="1"/>
  <c r="AU174" i="1"/>
  <c r="P18" i="1"/>
  <c r="F177" i="1"/>
  <c r="AT26" i="1"/>
  <c r="F53" i="1"/>
  <c r="AT144" i="1"/>
  <c r="AV22" i="1"/>
  <c r="F149" i="1"/>
  <c r="AV174" i="1"/>
  <c r="X22" i="1"/>
  <c r="X174" i="1"/>
  <c r="F170" i="1"/>
  <c r="Y22" i="1"/>
  <c r="F171" i="1"/>
  <c r="Y174" i="1"/>
  <c r="R18" i="1"/>
  <c r="F188" i="1"/>
  <c r="O22" i="1"/>
  <c r="F146" i="1"/>
  <c r="O174" i="1"/>
  <c r="AR26" i="1"/>
  <c r="F63" i="1"/>
  <c r="AR144" i="1"/>
  <c r="AY22" i="1"/>
  <c r="AY174" i="1"/>
  <c r="F152" i="1"/>
  <c r="AW22" i="1"/>
  <c r="AW174" i="1"/>
  <c r="F150" i="1"/>
  <c r="AS22" i="1"/>
  <c r="F161" i="1"/>
  <c r="E16" i="2" s="1"/>
  <c r="AS174" i="1"/>
  <c r="S18" i="1"/>
  <c r="F189" i="1"/>
  <c r="AS18" i="1" l="1"/>
  <c r="F191" i="1"/>
  <c r="AW18" i="1"/>
  <c r="F180" i="1"/>
  <c r="O18" i="1"/>
  <c r="F176" i="1"/>
  <c r="AT22" i="1"/>
  <c r="AT174" i="1"/>
  <c r="F162" i="1"/>
  <c r="F16" i="2" s="1"/>
  <c r="F18" i="2" s="1"/>
  <c r="I16" i="2"/>
  <c r="I18" i="2" s="1"/>
  <c r="E18" i="2"/>
  <c r="AY18" i="1"/>
  <c r="F182" i="1"/>
  <c r="AR22" i="1"/>
  <c r="AR174" i="1"/>
  <c r="F172" i="1"/>
  <c r="Y18" i="1"/>
  <c r="F201" i="1"/>
  <c r="X18" i="1"/>
  <c r="F200" i="1"/>
  <c r="AV18" i="1"/>
  <c r="F179" i="1"/>
  <c r="AU18" i="1"/>
  <c r="F193" i="1"/>
  <c r="AT18" i="1" l="1"/>
  <c r="F192" i="1"/>
  <c r="AR18" i="1"/>
  <c r="F202" i="1"/>
  <c r="F203" i="1" s="1"/>
  <c r="F204" i="1" l="1"/>
  <c r="F205" i="1" s="1"/>
</calcChain>
</file>

<file path=xl/sharedStrings.xml><?xml version="1.0" encoding="utf-8"?>
<sst xmlns="http://schemas.openxmlformats.org/spreadsheetml/2006/main" count="1759" uniqueCount="279">
  <si>
    <t>Smeta.RU  (495) 974-1589</t>
  </si>
  <si>
    <t>_PS_</t>
  </si>
  <si>
    <t>Smeta.RU</t>
  </si>
  <si>
    <t/>
  </si>
  <si>
    <t>ТП-502. Реконструкция. Замена 8 ячеек РУ-10 кВ. Корректировка - 19.08.21.</t>
  </si>
  <si>
    <t>Алиева И.Е.</t>
  </si>
  <si>
    <t>Зам.начальника ПТО</t>
  </si>
  <si>
    <t>Алексеев Е.В.</t>
  </si>
  <si>
    <t>Главный инженер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</si>
  <si>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</si>
  <si>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</si>
  <si>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</si>
  <si>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</si>
  <si>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</si>
  <si>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</si>
  <si>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</si>
  <si>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</si>
  <si>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</si>
  <si>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</si>
  <si>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</si>
  <si>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ТП-502. Реконструкция. Замена 8 ячеек РУ-10 кВ.</t>
  </si>
  <si>
    <t>Новый раздел</t>
  </si>
  <si>
    <t>Электромонтажные работы</t>
  </si>
  <si>
    <t>1</t>
  </si>
  <si>
    <t>4.8-61-4</t>
  </si>
  <si>
    <t>ДЕМОНТАЖ - КАМЕРЫ СБОРНЫЕ РАСПРЕДЕЛИТЕЛЬНЫХ УСТРОЙСТВ СЕРИИ КСО, КАМЕРА: С ВЫКЛЮЧАТЕЛЕМ НАГРУЗКИ</t>
  </si>
  <si>
    <t>шт.</t>
  </si>
  <si>
    <t>ТСН-2001.4. База. Сб.8, т.61, поз.4</t>
  </si>
  <si>
    <t>)*0</t>
  </si>
  <si>
    <t>)*1,2)*0,5</t>
  </si>
  <si>
    <t>Монтаж оборудования</t>
  </si>
  <si>
    <t>ТСН-2001.4-8. 8-28...8-72</t>
  </si>
  <si>
    <t>ТСН-2001.4-8-2</t>
  </si>
  <si>
    <t>Поправка: ТСН-2001.4. О.П. тб1. п.1  Поправка: ТСН-2001.4. О.П. п.6.1.1.1</t>
  </si>
  <si>
    <t>2</t>
  </si>
  <si>
    <t>КАМЕРЫ СБОРНЫЕ РАСПРЕДЕЛИТЕЛЬНЫХ УСТРОЙСТВ СЕРИИ КСО, КАМЕРА: С ВЫКЛЮЧАТЕЛЕМ НАГРУЗКИ</t>
  </si>
  <si>
    <t>)*1,2</t>
  </si>
  <si>
    <t>Поправка: ТСН-2001.4. О.П. тб1. п.1</t>
  </si>
  <si>
    <t>3</t>
  </si>
  <si>
    <t>4.8-64-3</t>
  </si>
  <si>
    <t>КОНСТРУКЦИИ МЕТАЛЛИЧЕСКИЕ ПОД ОБОРУДОВАНИЕ, КОНСТРУКЦИЯ МЕТАЛЛИЧЕСКАЯ</t>
  </si>
  <si>
    <t>т</t>
  </si>
  <si>
    <t>ТСН-2001.4. База. Сб.8, т.64, поз.3</t>
  </si>
  <si>
    <t>4</t>
  </si>
  <si>
    <t>4.8-56-3</t>
  </si>
  <si>
    <t>МОСТЫ ШИННЫЕ ДЛЯ СБОРНЫХ РАСПРЕДЕЛИТЕЛЬНЫХ УСТРОЙСТВ, МОСТ, КОЛИЧЕСТВО ОПОРНЫХ ИЗОЛЯТОРОВ: 18</t>
  </si>
  <si>
    <t>ТСН-2001.4. База. Сб.8, т.56, поз.3</t>
  </si>
  <si>
    <t>5</t>
  </si>
  <si>
    <t>ДЕМОНТАЖ - МОСТЫ ШИННЫЕ ДЛЯ СБОРНЫХ РАСПРЕДЕЛИТЕЛЬНЫХ УСТРОЙСТВ, МОСТ, КОЛИЧЕСТВО ОПОРНЫХ ИЗОЛЯТОРОВ: 18</t>
  </si>
  <si>
    <t>6</t>
  </si>
  <si>
    <t>4.8-47-2</t>
  </si>
  <si>
    <t>ШИНЫ СБОРНЫЕ - ОДНА ПОЛОСА В ФАЗЕ, ШИНА, СЕЧЕНИЕ: ДО 500 ММ2</t>
  </si>
  <si>
    <t>100 м</t>
  </si>
  <si>
    <t>ТСН-2001.4. База. Сб.8, т.47, поз.2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</si>
  <si>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</si>
  <si>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</si>
  <si>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</si>
  <si>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</si>
  <si>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</si>
  <si>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</si>
  <si>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</si>
  <si>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</si>
  <si>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</si>
  <si>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</si>
  <si>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</si>
  <si>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</si>
  <si>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</si>
  <si>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</si>
  <si>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</si>
  <si>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</si>
  <si>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</si>
  <si>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</si>
  <si>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</si>
  <si>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</si>
  <si>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</si>
  <si>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</si>
  <si>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</si>
  <si>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</si>
  <si>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</si>
  <si>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</si>
  <si>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</si>
  <si>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</si>
  <si>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</si>
  <si>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</si>
  <si>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</si>
  <si>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</si>
  <si>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</si>
  <si>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</si>
  <si>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</si>
  <si>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</si>
  <si>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</si>
  <si>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</si>
  <si>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</si>
  <si>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</si>
  <si>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</si>
  <si>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</si>
  <si>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</si>
  <si>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</si>
  <si>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</si>
  <si>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</si>
  <si>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</si>
  <si>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</si>
  <si>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</si>
  <si>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</si>
  <si>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</si>
  <si>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</si>
  <si>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</si>
  <si>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</si>
  <si>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Пусконаладочные работы</t>
  </si>
  <si>
    <t>7</t>
  </si>
  <si>
    <t>5.1-26-1</t>
  </si>
  <si>
    <t>ВЫКЛЮЧАТЕЛЬ НАГРУЗКИ НАПРЯЖЕНИЕМ ДО 11 КВ</t>
  </si>
  <si>
    <t>ТСН-2001.5. База. Сб.1, т.26, поз.1</t>
  </si>
  <si>
    <t>)*1,3)*0,8</t>
  </si>
  <si>
    <t>ТСН-2001.5-1. 1-1...1-189</t>
  </si>
  <si>
    <t>ТСН-2001.5-1-1</t>
  </si>
  <si>
    <t>Поправка: ТСН-2001.5. р2. тб1. п. 5  Поправка: ТСН-2001.5. р2. п.2.5</t>
  </si>
  <si>
    <t>8</t>
  </si>
  <si>
    <t>5.1-162-2</t>
  </si>
  <si>
    <t>ИЗМЕРЕНИЕ СОПРОТИВЛЕНИЯ ИЗОЛЯЦИИ МЕГАОММЕТРОМ ОБМОТОК МАШИН И АППАРАТОВ</t>
  </si>
  <si>
    <t>измерение</t>
  </si>
  <si>
    <t>ТСН-2001.5. База. Сб.1, т.162, поз.2</t>
  </si>
  <si>
    <t>9</t>
  </si>
  <si>
    <t>5.1-169-1</t>
  </si>
  <si>
    <t>АППАРАТ КОММУТАЦИОННЫЙ НАПРЯЖЕНИЕМ ДО 35 КВ</t>
  </si>
  <si>
    <t>испытание</t>
  </si>
  <si>
    <t>ТСН-2001.5. База. Сб.1, т.169, поз.1</t>
  </si>
  <si>
    <t>10</t>
  </si>
  <si>
    <t>5.1-152-1</t>
  </si>
  <si>
    <t>ПРОВЕРКА НАЛИЧИЯ ЦЕПИ МЕЖДУ ЗАЗЕМЛИТЕЛЯМИ И ЗАЗЕМЛЕННЫМИ ЭЛЕМЕНТАМИ</t>
  </si>
  <si>
    <t>точка</t>
  </si>
  <si>
    <t>ТСН-2001.5. База. Сб.1, т.152, поз.1</t>
  </si>
  <si>
    <t>11</t>
  </si>
  <si>
    <t>5.1-158-2</t>
  </si>
  <si>
    <t>ФАЗИРОВКА ЭЛЕКТРИЧЕСКОЙ ЛИНИИ ИЛИ ТРАНСФОРМАТОРА С СЕТЬЮ НАПРЯЖЕНИЕМ СВЫШЕ 1 КВ</t>
  </si>
  <si>
    <t>фазировка</t>
  </si>
  <si>
    <t>ТСН-2001.5. База. Сб.1, т.158, поз.2</t>
  </si>
  <si>
    <t>Поправка: 5.1/3  Поправка: ТСН-2001.5. р2. п.2.5</t>
  </si>
  <si>
    <t>12</t>
  </si>
  <si>
    <t>5.1-168-1</t>
  </si>
  <si>
    <t>ШИНЫ НАПРЯЖЕНИЕМ ДО 11 КВ</t>
  </si>
  <si>
    <t>ТСН-2001.5. База. Сб.1, т.168, поз.1</t>
  </si>
  <si>
    <t>13</t>
  </si>
  <si>
    <t>5.1-161-1</t>
  </si>
  <si>
    <t>ИЗМЕРЕНИЕ ТОКОВ УТЕЧКИ ИЛИ ПРОБИВНОГО НАПРЯЖЕНИЯ РАЗРЯДНИКА ИЛИ ТОКОВ УТЕЧКИ ОГРАНИЧИТЕЛЯ НАПРЯЖЕНИЯ</t>
  </si>
  <si>
    <t>ТСН-2001.5. База. Сб.1, т.161, поз.1</t>
  </si>
  <si>
    <t>Оборудование и материалы, не учтенные ценником.</t>
  </si>
  <si>
    <t>14</t>
  </si>
  <si>
    <t>Накладная №12 от 18.07.2019.</t>
  </si>
  <si>
    <t>Комплект камер КСО-393</t>
  </si>
  <si>
    <t>КОМПЛЕКТ из 8 ячеек</t>
  </si>
  <si>
    <t>=540908</t>
  </si>
  <si>
    <t>Материалы</t>
  </si>
  <si>
    <t>Материалы, изделия и конструкции</t>
  </si>
  <si>
    <t>15</t>
  </si>
  <si>
    <t>1.23-16-1</t>
  </si>
  <si>
    <t>ШИНЫ АЛЮМИНИЕВЫЕ ПРЯМОУГОЛЬНОГО СЕЧЕНИЯ</t>
  </si>
  <si>
    <t>ТСН-2001.1. База. Р.23, о.16, поз.1</t>
  </si>
  <si>
    <t>Материалы монтажные</t>
  </si>
  <si>
    <t>ТСН-2001.1 Материалы монтажные</t>
  </si>
  <si>
    <t>ТСН-2001.1-2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</si>
  <si>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</si>
  <si>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</si>
  <si>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</si>
  <si>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</si>
  <si>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</si>
  <si>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</si>
  <si>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</si>
  <si>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171</t>
  </si>
  <si>
    <t>_OBSM_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</si>
  <si>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  Поправка: ТСН-2001.4. О.П. п.6.1.1.1  Наименование: Демонтаж оборудования, предназначенного для дальнейшего использования, с укладкой деталей оборудования в ящики, со смазкой антикоррозионным слоем и составлением упаковочных спецификаций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</si>
  <si>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</si>
  <si>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ТСН-2001.5. р2. тб1. п. 5  Наименование: В электроустановках, находящихся под напряжением: с оформлением наряда-допуска  Поправка: ТСН-2001.5. р2. п.2.5  Наименование: В случае, если монтажные и пусконаладочные работы по какому-либо оборудованию выполняются одним и тем же звеном (бригадой), либо если они производятся при техническом руководстве персонала предприятий-изготовителей или фирм-поставщиков оборудования.</t>
  </si>
  <si>
    <t>Поправка: 5.1/3  Наименование:  В действующих электроустановках, находящихся под напряжением, с оформлением наряда-допуска  Поправка: ТСН-2001.5. р2. п.2.5  Наименование: В случае, если монтажные и пусконаладочные работы по какому-либо оборудованию выполняются одним и тем же звеном (бригадой), либо если они производятся при техническом руководстве персонала предприятий-изготовителей или фирм-поставщиков оборудования.</t>
  </si>
  <si>
    <t>"СОГЛАСОВАНО"</t>
  </si>
  <si>
    <t>"УТВЕРЖДАЮ"</t>
  </si>
  <si>
    <t>Форма № 1б</t>
  </si>
  <si>
    <t>"_____"________________ 2021 г.</t>
  </si>
  <si>
    <t>Директор МУП "Троицкая электросеть"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</si>
  <si>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</si>
  <si>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</si>
  <si>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</si>
  <si>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</si>
  <si>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</si>
  <si>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Строительные работы</t>
  </si>
  <si>
    <t>Монтажные работы</t>
  </si>
  <si>
    <t>Оборудование</t>
  </si>
  <si>
    <t>Прочие работы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</si>
  <si>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</si>
  <si>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</si>
  <si>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</si>
  <si>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</si>
  <si>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</si>
  <si>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</si>
  <si>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
единиц</t>
  </si>
  <si>
    <t>Цена на
ед. изм.,
руб.</t>
  </si>
  <si>
    <t>Попра-
вочные
коэфф.</t>
  </si>
  <si>
    <t>Коэфф.
зимних
удоро-
жаний</t>
  </si>
  <si>
    <t>ВСЕГО в
базисном
уровне цен,
руб.</t>
  </si>
  <si>
    <t>Коэфф.
пере-
счета и
нормы
НР и СП</t>
  </si>
  <si>
    <t>Всего в
текущем
уровне цен,
руб.</t>
  </si>
  <si>
    <t>Составлен(а) в уровне текущих (прогнозных) цен ТСН-2001 МЦЦС  ремонт №171 декабрь 2020 года</t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</si>
  <si>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</si>
  <si>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</si>
  <si>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</si>
  <si>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</si>
  <si>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</si>
  <si>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</si>
  <si>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</si>
  <si>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</si>
  <si>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</si>
  <si>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t>МР</t>
  </si>
  <si>
    <t xml:space="preserve">   Итого по ТСН-2001.16</t>
  </si>
  <si>
    <t xml:space="preserve">   Итого возвратных сумм</t>
  </si>
  <si>
    <t xml:space="preserve"> тыс.руб.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</si>
  <si>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</si>
  <si>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</si>
  <si>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</si>
  <si>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</si>
  <si>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</si>
  <si>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</si>
  <si>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</si>
  <si>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</si>
  <si>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</si>
  <si>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</si>
  <si>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</si>
  <si>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</si>
  <si>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</si>
  <si>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</si>
  <si>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</si>
  <si>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</si>
  <si>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</si>
  <si>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</si>
  <si>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</si>
  <si>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</si>
  <si>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</si>
  <si>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</si>
  <si>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</si>
  <si>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
документа</t>
  </si>
  <si>
    <t>Дата
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</si>
  <si>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</si>
  <si>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</si>
  <si>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</si>
  <si>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</si>
  <si>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</si>
  <si>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</si>
  <si>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</si>
  <si>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</si>
  <si>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</si>
  <si>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</si>
  <si>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</si>
  <si>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</si>
  <si>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</si>
  <si>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</si>
  <si>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</si>
  <si>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</si>
  <si>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</si>
  <si>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</si>
  <si>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</si>
  <si>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</si>
  <si>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</si>
  <si>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Номер документа</t>
  </si>
  <si>
    <t>Дата составления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</si>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</sst>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18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0" xfId="0" applyFont="1" applyFill="1" applyAlignment="1">
      <alignment horizontal="left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/>
    <xf numFmtId="164" fontId="11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0" fillId="0" borderId="5" xfId="0" applyBorder="1"/>
    <xf numFmtId="164" fontId="17" fillId="0" borderId="5" xfId="0" applyNumberFormat="1" applyFont="1" applyBorder="1" applyAlignment="1">
      <alignment horizontal="right"/>
    </xf>
    <xf numFmtId="0" fontId="9" fillId="0" borderId="0" xfId="0" applyFont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1" fillId="0" borderId="0" xfId="0" applyFont="1" applyAlignment="1">
      <alignment horizontal="right" vertical="center"/>
    </xf>
    <xf numFmtId="0" fontId="11" fillId="0" borderId="1" xfId="0" applyFont="1" applyBorder="1"/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/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6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0" xfId="0" applyNumberFormat="1" applyFont="1"/>
    <xf numFmtId="14" fontId="11" fillId="0" borderId="15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0" fontId="11" fillId="0" borderId="7" xfId="0" applyFont="1" applyBorder="1" applyAlignment="1">
      <alignment horizontal="center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5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 wrapText="1" shrinkToFit="1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6" xfId="0" applyFont="1" applyBorder="1" applyAlignment="1">
      <alignment horizontal="right" vertical="center" wrapText="1" shrinkToFit="1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  <xf numFmtId="164" fontId="17" fillId="0" borderId="0" xfId="0" applyNumberFormat="1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74"/>
  <sheetViews>
    <sheetView tabSelected="1" zoomScaleNormal="100" workbookViewId="0">
      <selection activeCell="J167" sqref="J167:K167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4" width="11.7109375" customWidth="1"/>
    <col min="5" max="5" width="8.140625" bestFit="1" customWidth="1"/>
    <col min="6" max="6" width="11.28515625" bestFit="1" customWidth="1"/>
    <col min="7" max="7" width="8.7109375" bestFit="1" customWidth="1"/>
    <col min="8" max="8" width="8.28515625" bestFit="1" customWidth="1"/>
    <col min="9" max="9" width="11.28515625" bestFit="1" customWidth="1"/>
    <col min="10" max="10" width="9.140625" bestFit="1" customWidth="1"/>
    <col min="11" max="11" width="12.42578125" bestFit="1" customWidth="1"/>
    <col min="14" max="36" width="0" hidden="1" customWidth="1"/>
    <col min="37" max="37" width="129.7109375" hidden="1" customWidth="1"/>
    <col min="38" max="38" width="96" hidden="1" customWidth="1"/>
    <col min="39" max="42" width="0" hidden="1" customWidth="1"/>
  </cols>
  <sheetData>
    <row r="1" spans="1:37" x14ac:dyDescent="0.2">
      <c r="A1" s="9" t="str">
        <f>Source!B1</f>
        <v>Smeta.RU  (495) 974-1589</v>
      </c>
    </row>
    <row r="2" spans="1:37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20" t="s">
        <v>176</v>
      </c>
      <c r="K2" s="20"/>
    </row>
    <row r="3" spans="1:37" ht="16.5" x14ac:dyDescent="0.25">
      <c r="A3" s="12"/>
      <c r="B3" s="13" t="s">
        <v>174</v>
      </c>
      <c r="C3" s="13"/>
      <c r="D3" s="13"/>
      <c r="E3" s="13"/>
      <c r="F3" s="11"/>
      <c r="G3" s="13" t="s">
        <v>175</v>
      </c>
      <c r="H3" s="13"/>
      <c r="I3" s="13"/>
      <c r="J3" s="13"/>
      <c r="K3" s="13"/>
    </row>
    <row r="4" spans="1:37" ht="14.25" x14ac:dyDescent="0.2">
      <c r="A4" s="11"/>
      <c r="B4" s="14"/>
      <c r="C4" s="14"/>
      <c r="D4" s="14"/>
      <c r="E4" s="14"/>
      <c r="F4" s="11"/>
      <c r="G4" s="14" t="s">
        <v>178</v>
      </c>
      <c r="H4" s="14"/>
      <c r="I4" s="14"/>
      <c r="J4" s="14"/>
      <c r="K4" s="14"/>
    </row>
    <row r="5" spans="1:37" ht="14.25" x14ac:dyDescent="0.2">
      <c r="A5" s="15"/>
      <c r="B5" s="15"/>
      <c r="C5" s="16"/>
      <c r="D5" s="16"/>
      <c r="E5" s="16"/>
      <c r="F5" s="11"/>
      <c r="G5" s="17"/>
      <c r="H5" s="16"/>
      <c r="I5" s="16"/>
      <c r="J5" s="16"/>
      <c r="K5" s="17"/>
    </row>
    <row r="6" spans="1:37" ht="14.25" x14ac:dyDescent="0.2">
      <c r="A6" s="17"/>
      <c r="B6" s="14" t="str">
        <f>CONCATENATE("______________________ ", IF(Source!AL12&lt;&gt;"", Source!AL12, ""))</f>
        <v xml:space="preserve">______________________ </v>
      </c>
      <c r="C6" s="14"/>
      <c r="D6" s="14"/>
      <c r="E6" s="14"/>
      <c r="F6" s="11"/>
      <c r="G6" s="14" t="str">
        <f>CONCATENATE("______________________ ", IF(Source!AH12&lt;&gt;"", Source!AH12, ""))</f>
        <v>______________________ А.П. Воробьева</v>
      </c>
      <c r="H6" s="14"/>
      <c r="I6" s="14"/>
      <c r="J6" s="14"/>
      <c r="K6" s="14"/>
    </row>
    <row r="7" spans="1:37" ht="24" customHeight="1" x14ac:dyDescent="0.2">
      <c r="A7" s="18"/>
      <c r="B7" s="19" t="s">
        <v>177</v>
      </c>
      <c r="C7" s="19"/>
      <c r="D7" s="19"/>
      <c r="E7" s="19"/>
      <c r="F7" s="11"/>
      <c r="G7" s="19" t="s">
        <v>177</v>
      </c>
      <c r="H7" s="19"/>
      <c r="I7" s="19"/>
      <c r="J7" s="19"/>
      <c r="K7" s="19"/>
    </row>
    <row r="9" spans="1:37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37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37" ht="15.75" x14ac:dyDescent="0.25">
      <c r="A11" s="21" t="str">
        <f>CONCATENATE( "ЛОКАЛЬНАЯ СМЕТА.   ",IF(Source!F12&lt;&gt;"Новый объект", Source!F12, ""))</f>
        <v>ЛОКАЛЬНАЯ СМЕТА.   ТП-502. Реконструкция. Замена 8 ячеек РУ-10 кВ.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AK11" s="37" t="str">
        <f>CONCATENATE( "ЛОКАЛЬНАЯ СМЕТА № ",IF(Source!F12&lt;&gt;"Новый объект", Source!F12, ""))</f>
        <v>ЛОКАЛЬНАЯ СМЕТА № ТП-502. Реконструкция. Замена 8 ячеек РУ-10 кВ.</v>
      </c>
    </row>
    <row r="12" spans="1:37" x14ac:dyDescent="0.2">
      <c r="A12" s="24" t="s">
        <v>179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37" ht="14.2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37" ht="18" hidden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37" ht="14.25" hidden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37" ht="18" x14ac:dyDescent="0.25">
      <c r="A16" s="26" t="str">
        <f>IF(Source!G12&lt;&gt;"Новый объект", Source!G12, "")</f>
        <v>ТП-502. Реконструкция. Замена 8 ячеек РУ-10 кВ.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37" x14ac:dyDescent="0.2">
      <c r="A17" s="24" t="s">
        <v>180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37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37" ht="14.25" x14ac:dyDescent="0.2">
      <c r="A19" s="28" t="str">
        <f>CONCATENATE( "Основание: чертежи № ", Source!J12)</f>
        <v xml:space="preserve">Основание: чертежи № 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37" ht="28.5" x14ac:dyDescent="0.2">
      <c r="A20" s="11"/>
      <c r="B20" s="11"/>
      <c r="C20" s="11"/>
      <c r="D20" s="11"/>
      <c r="E20" s="11"/>
      <c r="F20" s="11"/>
      <c r="G20" s="11"/>
      <c r="H20" s="11"/>
      <c r="I20" s="29" t="s">
        <v>181</v>
      </c>
      <c r="J20" s="29" t="s">
        <v>182</v>
      </c>
      <c r="K20" s="11"/>
    </row>
    <row r="21" spans="1:37" ht="15" x14ac:dyDescent="0.25">
      <c r="A21" s="11"/>
      <c r="B21" s="11"/>
      <c r="C21" s="11"/>
      <c r="D21" s="11"/>
      <c r="E21" s="11"/>
      <c r="F21" s="14" t="s">
        <v>183</v>
      </c>
      <c r="G21" s="14"/>
      <c r="H21" s="14"/>
      <c r="I21" s="30">
        <f>SUM(O1:O164)/1000</f>
        <v>666.82104000000004</v>
      </c>
      <c r="J21" s="145">
        <f>(Source!F205/1000)</f>
        <v>1446.00739</v>
      </c>
      <c r="K21" s="53" t="s">
        <v>214</v>
      </c>
    </row>
    <row r="22" spans="1:37" ht="14.25" x14ac:dyDescent="0.2">
      <c r="A22" s="11"/>
      <c r="B22" s="11"/>
      <c r="C22" s="11"/>
      <c r="D22" s="11"/>
      <c r="E22" s="11"/>
      <c r="F22" s="14" t="s">
        <v>184</v>
      </c>
      <c r="G22" s="14"/>
      <c r="H22" s="14"/>
      <c r="I22" s="30">
        <f>SUM(X1:X164)/1000</f>
        <v>634.41336000000001</v>
      </c>
      <c r="J22" s="30">
        <f>(Source!F191)/1000</f>
        <v>634.41336000000001</v>
      </c>
      <c r="K22" s="11" t="s">
        <v>214</v>
      </c>
    </row>
    <row r="23" spans="1:37" ht="14.25" x14ac:dyDescent="0.2">
      <c r="A23" s="11"/>
      <c r="B23" s="11"/>
      <c r="C23" s="11"/>
      <c r="D23" s="11"/>
      <c r="E23" s="11"/>
      <c r="F23" s="14" t="s">
        <v>185</v>
      </c>
      <c r="G23" s="14"/>
      <c r="H23" s="14"/>
      <c r="I23" s="30">
        <f>SUM(Y1:Y164)/1000</f>
        <v>24.373139999999999</v>
      </c>
      <c r="J23" s="30">
        <f>(Source!F192)/1000</f>
        <v>400.47784000000001</v>
      </c>
      <c r="K23" s="11" t="s">
        <v>214</v>
      </c>
    </row>
    <row r="24" spans="1:37" ht="14.25" x14ac:dyDescent="0.2">
      <c r="A24" s="11"/>
      <c r="B24" s="11"/>
      <c r="C24" s="11"/>
      <c r="D24" s="11"/>
      <c r="E24" s="11"/>
      <c r="F24" s="14" t="s">
        <v>186</v>
      </c>
      <c r="G24" s="14"/>
      <c r="H24" s="14"/>
      <c r="I24" s="30">
        <f>SUM(Z1:Z164)/1000</f>
        <v>0</v>
      </c>
      <c r="J24" s="30">
        <f>(Source!F183)/1000</f>
        <v>0</v>
      </c>
      <c r="K24" s="11" t="s">
        <v>214</v>
      </c>
    </row>
    <row r="25" spans="1:37" ht="14.25" x14ac:dyDescent="0.2">
      <c r="A25" s="11"/>
      <c r="B25" s="11"/>
      <c r="C25" s="11"/>
      <c r="D25" s="11"/>
      <c r="E25" s="11"/>
      <c r="F25" s="14" t="s">
        <v>187</v>
      </c>
      <c r="G25" s="14"/>
      <c r="H25" s="14"/>
      <c r="I25" s="30">
        <f>SUM(AA1:AA164)/1000</f>
        <v>8.0345399999999998</v>
      </c>
      <c r="J25" s="30">
        <f>(Source!F193+Source!F194)/1000</f>
        <v>170.11496</v>
      </c>
      <c r="K25" s="11" t="s">
        <v>214</v>
      </c>
    </row>
    <row r="26" spans="1:37" ht="14.25" x14ac:dyDescent="0.2">
      <c r="A26" s="11"/>
      <c r="B26" s="11"/>
      <c r="C26" s="11"/>
      <c r="D26" s="11"/>
      <c r="E26" s="11"/>
      <c r="F26" s="14" t="s">
        <v>188</v>
      </c>
      <c r="G26" s="14"/>
      <c r="H26" s="14"/>
      <c r="I26" s="30">
        <f>SUM(W1:W164)/1000</f>
        <v>10.076109999999998</v>
      </c>
      <c r="J26" s="30">
        <f>(Source!F189+ Source!F188)/1000</f>
        <v>250.08905999999999</v>
      </c>
      <c r="K26" s="11" t="s">
        <v>214</v>
      </c>
    </row>
    <row r="27" spans="1:37" ht="14.25" hidden="1" x14ac:dyDescent="0.2">
      <c r="A27" s="11"/>
      <c r="B27" s="11"/>
      <c r="C27" s="11"/>
      <c r="D27" s="11"/>
      <c r="E27" s="11"/>
      <c r="F27" s="31" t="s">
        <v>189</v>
      </c>
      <c r="G27" s="31"/>
      <c r="H27" s="31"/>
      <c r="I27" s="30"/>
      <c r="J27" s="30"/>
      <c r="K27" s="11"/>
    </row>
    <row r="28" spans="1:37" ht="14.25" hidden="1" x14ac:dyDescent="0.2">
      <c r="A28" s="11"/>
      <c r="B28" s="11"/>
      <c r="C28" s="11"/>
      <c r="D28" s="11"/>
      <c r="E28" s="11"/>
      <c r="F28" s="32" t="s">
        <v>93</v>
      </c>
      <c r="G28" s="33"/>
      <c r="H28" s="33"/>
      <c r="I28" s="30">
        <f>SUM(AE1:AE164)/1000</f>
        <v>0</v>
      </c>
      <c r="J28" s="30">
        <f>SUM(AF1:AF164)/1000</f>
        <v>0</v>
      </c>
      <c r="K28" s="11" t="s">
        <v>214</v>
      </c>
    </row>
    <row r="29" spans="1:37" ht="14.25" x14ac:dyDescent="0.2">
      <c r="A29" s="34" t="s">
        <v>201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AK29" s="38" t="s">
        <v>201</v>
      </c>
    </row>
    <row r="30" spans="1:37" ht="99.75" x14ac:dyDescent="0.2">
      <c r="A30" s="35" t="s">
        <v>190</v>
      </c>
      <c r="B30" s="35" t="s">
        <v>191</v>
      </c>
      <c r="C30" s="35" t="s">
        <v>192</v>
      </c>
      <c r="D30" s="35" t="s">
        <v>193</v>
      </c>
      <c r="E30" s="35" t="s">
        <v>194</v>
      </c>
      <c r="F30" s="35" t="s">
        <v>195</v>
      </c>
      <c r="G30" s="36" t="s">
        <v>196</v>
      </c>
      <c r="H30" s="36" t="s">
        <v>197</v>
      </c>
      <c r="I30" s="35" t="s">
        <v>198</v>
      </c>
      <c r="J30" s="35" t="s">
        <v>199</v>
      </c>
      <c r="K30" s="35" t="s">
        <v>200</v>
      </c>
    </row>
    <row r="31" spans="1:37" ht="14.25" x14ac:dyDescent="0.2">
      <c r="A31" s="35">
        <v>1</v>
      </c>
      <c r="B31" s="35">
        <v>2</v>
      </c>
      <c r="C31" s="35">
        <v>3</v>
      </c>
      <c r="D31" s="35">
        <v>4</v>
      </c>
      <c r="E31" s="35">
        <v>5</v>
      </c>
      <c r="F31" s="35">
        <v>6</v>
      </c>
      <c r="G31" s="35">
        <v>7</v>
      </c>
      <c r="H31" s="35">
        <v>8</v>
      </c>
      <c r="I31" s="35">
        <v>9</v>
      </c>
      <c r="J31" s="35">
        <v>10</v>
      </c>
      <c r="K31" s="35">
        <v>11</v>
      </c>
    </row>
    <row r="33" spans="1:27" ht="16.5" x14ac:dyDescent="0.25">
      <c r="A33" s="39" t="str">
        <f>CONCATENATE("Локальная смета: ",IF(Source!G20&lt;&gt;"Новая локальная смета", Source!G20, ""))</f>
        <v>Локальная смета: ТП-502. Реконструкция. Замена 8 ячеек РУ-10 кВ.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5" spans="1:27" ht="16.5" x14ac:dyDescent="0.25">
      <c r="A35" s="39" t="str">
        <f>CONCATENATE("Раздел: ",IF(Source!G24&lt;&gt;"Новый раздел", Source!G24, ""))</f>
        <v>Раздел: Электромонтажные работы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27" ht="57" x14ac:dyDescent="0.2">
      <c r="A36" s="40" t="str">
        <f>Source!E28</f>
        <v>1</v>
      </c>
      <c r="B36" s="41" t="str">
        <f>Source!F28</f>
        <v>4.8-61-4</v>
      </c>
      <c r="C36" s="41" t="s">
        <v>25</v>
      </c>
      <c r="D36" s="42" t="str">
        <f>Source!H28</f>
        <v>шт.</v>
      </c>
      <c r="E36" s="10">
        <f>Source!I28</f>
        <v>8</v>
      </c>
      <c r="F36" s="44"/>
      <c r="G36" s="43"/>
      <c r="H36" s="10"/>
      <c r="I36" s="45"/>
      <c r="J36" s="10"/>
      <c r="K36" s="45"/>
      <c r="Q36">
        <f>ROUND((Source!DN28/100)*ROUND((ROUND((Source!AF28*Source!AV28*Source!I28),2)),2), 2)</f>
        <v>1561.72</v>
      </c>
      <c r="R36">
        <f>Source!X28</f>
        <v>26181.279999999999</v>
      </c>
      <c r="S36">
        <f>ROUND((Source!DO28/100)*ROUND((ROUND((Source!AF28*Source!AV28*Source!I28),2)),2), 2)</f>
        <v>917.85</v>
      </c>
      <c r="T36">
        <f>Source!Y28</f>
        <v>13940.68</v>
      </c>
      <c r="U36">
        <f>ROUND((175/100)*ROUND((ROUND((Source!AE28*Source!AV28*Source!I28),2)),2), 2)</f>
        <v>69.13</v>
      </c>
      <c r="V36">
        <f>ROUND((157/100)*ROUND(ROUND((ROUND((Source!AE28*Source!AV28*Source!I28),2)*Source!BS28),2), 2), 2)</f>
        <v>1539.21</v>
      </c>
    </row>
    <row r="37" spans="1:27" ht="28.5" x14ac:dyDescent="0.2">
      <c r="A37" s="40"/>
      <c r="B37" s="41"/>
      <c r="C37" s="41" t="s">
        <v>202</v>
      </c>
      <c r="D37" s="42"/>
      <c r="E37" s="10"/>
      <c r="F37" s="44">
        <f>Source!AO28</f>
        <v>272.58999999999997</v>
      </c>
      <c r="G37" s="43" t="str">
        <f>Source!DG28</f>
        <v>)*1,2)*0,5</v>
      </c>
      <c r="H37" s="10">
        <f>Source!AV28</f>
        <v>1.0469999999999999</v>
      </c>
      <c r="I37" s="45">
        <f>ROUND((ROUND((Source!AF28*Source!AV28*Source!I28),2)),2)</f>
        <v>1369.93</v>
      </c>
      <c r="J37" s="10">
        <f>IF(Source!BA28&lt;&gt; 0, Source!BA28, 1)</f>
        <v>24.82</v>
      </c>
      <c r="K37" s="45">
        <f>Source!S28</f>
        <v>34001.660000000003</v>
      </c>
      <c r="W37">
        <f>I37</f>
        <v>1369.93</v>
      </c>
    </row>
    <row r="38" spans="1:27" ht="28.5" x14ac:dyDescent="0.2">
      <c r="A38" s="40"/>
      <c r="B38" s="41"/>
      <c r="C38" s="41" t="s">
        <v>203</v>
      </c>
      <c r="D38" s="42"/>
      <c r="E38" s="10"/>
      <c r="F38" s="44">
        <f>Source!AM28</f>
        <v>33.86</v>
      </c>
      <c r="G38" s="43" t="str">
        <f>Source!DE28</f>
        <v>)*1,2)*0,5</v>
      </c>
      <c r="H38" s="10">
        <f>Source!AV28</f>
        <v>1.0469999999999999</v>
      </c>
      <c r="I38" s="45">
        <f>(ROUND((ROUND(((((Source!ET28*1.2)*0.5))*Source!AV28*Source!I28),2)),2)+ROUND((ROUND(((Source!AE28-(((Source!EU28*1.2)*0.5)))*Source!AV28*Source!I28),2)),2))</f>
        <v>170.17</v>
      </c>
      <c r="J38" s="10">
        <f>IF(Source!BB28&lt;&gt; 0, Source!BB28, 1)</f>
        <v>8.93</v>
      </c>
      <c r="K38" s="45">
        <f>Source!Q28</f>
        <v>1519.62</v>
      </c>
    </row>
    <row r="39" spans="1:27" ht="28.5" x14ac:dyDescent="0.2">
      <c r="A39" s="40"/>
      <c r="B39" s="41"/>
      <c r="C39" s="41" t="s">
        <v>204</v>
      </c>
      <c r="D39" s="42"/>
      <c r="E39" s="10"/>
      <c r="F39" s="44">
        <f>Source!AN28</f>
        <v>7.86</v>
      </c>
      <c r="G39" s="43" t="str">
        <f>Source!DF28</f>
        <v>)*1,2)*0,5</v>
      </c>
      <c r="H39" s="10">
        <f>Source!AV28</f>
        <v>1.0469999999999999</v>
      </c>
      <c r="I39" s="46">
        <f>ROUND((ROUND((Source!AE28*Source!AV28*Source!I28),2)),2)</f>
        <v>39.5</v>
      </c>
      <c r="J39" s="10">
        <f>IF(Source!BS28&lt;&gt; 0, Source!BS28, 1)</f>
        <v>24.82</v>
      </c>
      <c r="K39" s="46">
        <f>Source!R28</f>
        <v>980.39</v>
      </c>
      <c r="W39">
        <f>I39</f>
        <v>39.5</v>
      </c>
    </row>
    <row r="40" spans="1:27" ht="14.25" x14ac:dyDescent="0.2">
      <c r="A40" s="40"/>
      <c r="B40" s="41"/>
      <c r="C40" s="41" t="s">
        <v>205</v>
      </c>
      <c r="D40" s="42" t="s">
        <v>206</v>
      </c>
      <c r="E40" s="10">
        <f>Source!DN28</f>
        <v>114</v>
      </c>
      <c r="F40" s="44"/>
      <c r="G40" s="43"/>
      <c r="H40" s="10"/>
      <c r="I40" s="45">
        <f>SUM(Q36:Q39)</f>
        <v>1561.72</v>
      </c>
      <c r="J40" s="10">
        <f>Source!BZ28</f>
        <v>77</v>
      </c>
      <c r="K40" s="45">
        <f>SUM(R36:R39)</f>
        <v>26181.279999999999</v>
      </c>
    </row>
    <row r="41" spans="1:27" ht="14.25" x14ac:dyDescent="0.2">
      <c r="A41" s="40"/>
      <c r="B41" s="41"/>
      <c r="C41" s="41" t="s">
        <v>207</v>
      </c>
      <c r="D41" s="42" t="s">
        <v>206</v>
      </c>
      <c r="E41" s="10">
        <f>Source!DO28</f>
        <v>67</v>
      </c>
      <c r="F41" s="44"/>
      <c r="G41" s="43"/>
      <c r="H41" s="10"/>
      <c r="I41" s="45">
        <f>SUM(S36:S40)</f>
        <v>917.85</v>
      </c>
      <c r="J41" s="10">
        <f>Source!CA28</f>
        <v>41</v>
      </c>
      <c r="K41" s="45">
        <f>SUM(T36:T40)</f>
        <v>13940.68</v>
      </c>
    </row>
    <row r="42" spans="1:27" ht="14.25" x14ac:dyDescent="0.2">
      <c r="A42" s="40"/>
      <c r="B42" s="41"/>
      <c r="C42" s="41" t="s">
        <v>208</v>
      </c>
      <c r="D42" s="42" t="s">
        <v>206</v>
      </c>
      <c r="E42" s="10">
        <f>175</f>
        <v>175</v>
      </c>
      <c r="F42" s="44"/>
      <c r="G42" s="43"/>
      <c r="H42" s="10"/>
      <c r="I42" s="45">
        <f>SUM(U36:U41)</f>
        <v>69.13</v>
      </c>
      <c r="J42" s="10">
        <f>157</f>
        <v>157</v>
      </c>
      <c r="K42" s="45">
        <f>SUM(V36:V41)</f>
        <v>1539.21</v>
      </c>
    </row>
    <row r="43" spans="1:27" ht="28.5" x14ac:dyDescent="0.2">
      <c r="A43" s="40"/>
      <c r="B43" s="41"/>
      <c r="C43" s="41" t="s">
        <v>209</v>
      </c>
      <c r="D43" s="42" t="s">
        <v>210</v>
      </c>
      <c r="E43" s="10">
        <f>Source!AQ28</f>
        <v>21.6</v>
      </c>
      <c r="F43" s="44"/>
      <c r="G43" s="43" t="str">
        <f>Source!DI28</f>
        <v>)*1,2)*0,5</v>
      </c>
      <c r="H43" s="10">
        <f>Source!AV28</f>
        <v>1.0469999999999999</v>
      </c>
      <c r="I43" s="45">
        <f>Source!U28</f>
        <v>108.55296</v>
      </c>
      <c r="J43" s="10"/>
      <c r="K43" s="45"/>
    </row>
    <row r="44" spans="1:27" ht="15" x14ac:dyDescent="0.25">
      <c r="A44" s="50"/>
      <c r="B44" s="50"/>
      <c r="C44" s="50"/>
      <c r="D44" s="50"/>
      <c r="E44" s="50"/>
      <c r="F44" s="50"/>
      <c r="G44" s="50"/>
      <c r="H44" s="51">
        <f>I37+I38+I40+I41+I42</f>
        <v>4088.8</v>
      </c>
      <c r="I44" s="51"/>
      <c r="J44" s="51">
        <f>K37+K38+K40+K41+K42</f>
        <v>77182.450000000012</v>
      </c>
      <c r="K44" s="51"/>
      <c r="O44" s="47">
        <f>I37+I38+I40+I41+I42</f>
        <v>4088.8</v>
      </c>
      <c r="P44" s="47">
        <f>K37+K38+K40+K41+K42</f>
        <v>77182.450000000012</v>
      </c>
      <c r="X44">
        <f>IF(Source!BI28&lt;=1,I37+I38+I40+I41+I42-0, 0)</f>
        <v>0</v>
      </c>
      <c r="Y44">
        <f>IF(Source!BI28=2,I37+I38+I40+I41+I42-0, 0)</f>
        <v>4088.8</v>
      </c>
      <c r="Z44">
        <f>IF(Source!BI28=3,I37+I38+I40+I41+I42-0, 0)</f>
        <v>0</v>
      </c>
      <c r="AA44">
        <f>IF(Source!BI28=4,I37+I38+I40+I41+I42,0)</f>
        <v>0</v>
      </c>
    </row>
    <row r="45" spans="1:27" ht="57" x14ac:dyDescent="0.2">
      <c r="A45" s="40" t="str">
        <f>Source!E29</f>
        <v>2</v>
      </c>
      <c r="B45" s="41" t="str">
        <f>Source!F29</f>
        <v>4.8-61-4</v>
      </c>
      <c r="C45" s="41" t="s">
        <v>35</v>
      </c>
      <c r="D45" s="42" t="str">
        <f>Source!H29</f>
        <v>шт.</v>
      </c>
      <c r="E45" s="10">
        <f>Source!I29</f>
        <v>8</v>
      </c>
      <c r="F45" s="44"/>
      <c r="G45" s="43"/>
      <c r="H45" s="10"/>
      <c r="I45" s="45"/>
      <c r="J45" s="10"/>
      <c r="K45" s="45"/>
      <c r="Q45">
        <f>ROUND((Source!DN29/100)*ROUND((ROUND((Source!AF29*Source!AV29*Source!I29),2)),2), 2)</f>
        <v>3123.44</v>
      </c>
      <c r="R45">
        <f>Source!X29</f>
        <v>52362.559999999998</v>
      </c>
      <c r="S45">
        <f>ROUND((Source!DO29/100)*ROUND((ROUND((Source!AF29*Source!AV29*Source!I29),2)),2), 2)</f>
        <v>1835.71</v>
      </c>
      <c r="T45">
        <f>Source!Y29</f>
        <v>27881.37</v>
      </c>
      <c r="U45">
        <f>ROUND((175/100)*ROUND((ROUND((Source!AE29*Source!AV29*Source!I29),2)),2), 2)</f>
        <v>138.25</v>
      </c>
      <c r="V45">
        <f>ROUND((157/100)*ROUND(ROUND((ROUND((Source!AE29*Source!AV29*Source!I29),2)*Source!BS29),2), 2), 2)</f>
        <v>3078.42</v>
      </c>
    </row>
    <row r="46" spans="1:27" ht="14.25" x14ac:dyDescent="0.2">
      <c r="A46" s="40"/>
      <c r="B46" s="41"/>
      <c r="C46" s="41" t="s">
        <v>202</v>
      </c>
      <c r="D46" s="42"/>
      <c r="E46" s="10"/>
      <c r="F46" s="44">
        <f>Source!AO29</f>
        <v>272.58999999999997</v>
      </c>
      <c r="G46" s="43" t="str">
        <f>Source!DG29</f>
        <v>)*1,2</v>
      </c>
      <c r="H46" s="10">
        <f>Source!AV29</f>
        <v>1.0469999999999999</v>
      </c>
      <c r="I46" s="45">
        <f>ROUND((ROUND((Source!AF29*Source!AV29*Source!I29),2)),2)</f>
        <v>2739.86</v>
      </c>
      <c r="J46" s="10">
        <f>IF(Source!BA29&lt;&gt; 0, Source!BA29, 1)</f>
        <v>24.82</v>
      </c>
      <c r="K46" s="45">
        <f>Source!S29</f>
        <v>68003.33</v>
      </c>
      <c r="W46">
        <f>I46</f>
        <v>2739.86</v>
      </c>
    </row>
    <row r="47" spans="1:27" ht="14.25" x14ac:dyDescent="0.2">
      <c r="A47" s="40"/>
      <c r="B47" s="41"/>
      <c r="C47" s="41" t="s">
        <v>203</v>
      </c>
      <c r="D47" s="42"/>
      <c r="E47" s="10"/>
      <c r="F47" s="44">
        <f>Source!AM29</f>
        <v>33.86</v>
      </c>
      <c r="G47" s="43" t="str">
        <f>Source!DE29</f>
        <v>)*1,2</v>
      </c>
      <c r="H47" s="10">
        <f>Source!AV29</f>
        <v>1.0469999999999999</v>
      </c>
      <c r="I47" s="45">
        <f>(ROUND((ROUND((((Source!ET29*1.2))*Source!AV29*Source!I29),2)),2)+ROUND((ROUND(((Source!AE29-((Source!EU29*1.2)))*Source!AV29*Source!I29),2)),2))</f>
        <v>340.33</v>
      </c>
      <c r="J47" s="10">
        <f>IF(Source!BB29&lt;&gt; 0, Source!BB29, 1)</f>
        <v>8.93</v>
      </c>
      <c r="K47" s="45">
        <f>Source!Q29</f>
        <v>3039.15</v>
      </c>
    </row>
    <row r="48" spans="1:27" ht="14.25" x14ac:dyDescent="0.2">
      <c r="A48" s="40"/>
      <c r="B48" s="41"/>
      <c r="C48" s="41" t="s">
        <v>204</v>
      </c>
      <c r="D48" s="42"/>
      <c r="E48" s="10"/>
      <c r="F48" s="44">
        <f>Source!AN29</f>
        <v>7.86</v>
      </c>
      <c r="G48" s="43" t="str">
        <f>Source!DF29</f>
        <v>)*1,2</v>
      </c>
      <c r="H48" s="10">
        <f>Source!AV29</f>
        <v>1.0469999999999999</v>
      </c>
      <c r="I48" s="46">
        <f>ROUND((ROUND((Source!AE29*Source!AV29*Source!I29),2)),2)</f>
        <v>79</v>
      </c>
      <c r="J48" s="10">
        <f>IF(Source!BS29&lt;&gt; 0, Source!BS29, 1)</f>
        <v>24.82</v>
      </c>
      <c r="K48" s="46">
        <f>Source!R29</f>
        <v>1960.78</v>
      </c>
      <c r="W48">
        <f>I48</f>
        <v>79</v>
      </c>
    </row>
    <row r="49" spans="1:27" ht="14.25" x14ac:dyDescent="0.2">
      <c r="A49" s="40"/>
      <c r="B49" s="41"/>
      <c r="C49" s="41" t="s">
        <v>211</v>
      </c>
      <c r="D49" s="42"/>
      <c r="E49" s="10"/>
      <c r="F49" s="44">
        <f>Source!AL29</f>
        <v>9.1</v>
      </c>
      <c r="G49" s="43" t="str">
        <f>Source!DD29</f>
        <v/>
      </c>
      <c r="H49" s="10">
        <f>Source!AW29</f>
        <v>1</v>
      </c>
      <c r="I49" s="45">
        <f>ROUND((ROUND((Source!AC29*Source!AW29*Source!I29),2)),2)</f>
        <v>72.8</v>
      </c>
      <c r="J49" s="10">
        <f>IF(Source!BC29&lt;&gt; 0, Source!BC29, 1)</f>
        <v>5.29</v>
      </c>
      <c r="K49" s="45">
        <f>Source!P29</f>
        <v>385.11</v>
      </c>
    </row>
    <row r="50" spans="1:27" ht="14.25" x14ac:dyDescent="0.2">
      <c r="A50" s="40"/>
      <c r="B50" s="41"/>
      <c r="C50" s="41" t="s">
        <v>205</v>
      </c>
      <c r="D50" s="42" t="s">
        <v>206</v>
      </c>
      <c r="E50" s="10">
        <f>Source!DN29</f>
        <v>114</v>
      </c>
      <c r="F50" s="44"/>
      <c r="G50" s="43"/>
      <c r="H50" s="10"/>
      <c r="I50" s="45">
        <f>SUM(Q45:Q49)</f>
        <v>3123.44</v>
      </c>
      <c r="J50" s="10">
        <f>Source!BZ29</f>
        <v>77</v>
      </c>
      <c r="K50" s="45">
        <f>SUM(R45:R49)</f>
        <v>52362.559999999998</v>
      </c>
    </row>
    <row r="51" spans="1:27" ht="14.25" x14ac:dyDescent="0.2">
      <c r="A51" s="40"/>
      <c r="B51" s="41"/>
      <c r="C51" s="41" t="s">
        <v>207</v>
      </c>
      <c r="D51" s="42" t="s">
        <v>206</v>
      </c>
      <c r="E51" s="10">
        <f>Source!DO29</f>
        <v>67</v>
      </c>
      <c r="F51" s="44"/>
      <c r="G51" s="43"/>
      <c r="H51" s="10"/>
      <c r="I51" s="45">
        <f>SUM(S45:S50)</f>
        <v>1835.71</v>
      </c>
      <c r="J51" s="10">
        <f>Source!CA29</f>
        <v>41</v>
      </c>
      <c r="K51" s="45">
        <f>SUM(T45:T50)</f>
        <v>27881.37</v>
      </c>
    </row>
    <row r="52" spans="1:27" ht="14.25" x14ac:dyDescent="0.2">
      <c r="A52" s="40"/>
      <c r="B52" s="41"/>
      <c r="C52" s="41" t="s">
        <v>208</v>
      </c>
      <c r="D52" s="42" t="s">
        <v>206</v>
      </c>
      <c r="E52" s="10">
        <f>175</f>
        <v>175</v>
      </c>
      <c r="F52" s="44"/>
      <c r="G52" s="43"/>
      <c r="H52" s="10"/>
      <c r="I52" s="45">
        <f>SUM(U45:U51)</f>
        <v>138.25</v>
      </c>
      <c r="J52" s="10">
        <f>157</f>
        <v>157</v>
      </c>
      <c r="K52" s="45">
        <f>SUM(V45:V51)</f>
        <v>3078.42</v>
      </c>
    </row>
    <row r="53" spans="1:27" ht="14.25" x14ac:dyDescent="0.2">
      <c r="A53" s="40"/>
      <c r="B53" s="41"/>
      <c r="C53" s="41" t="s">
        <v>209</v>
      </c>
      <c r="D53" s="42" t="s">
        <v>210</v>
      </c>
      <c r="E53" s="10">
        <f>Source!AQ29</f>
        <v>21.6</v>
      </c>
      <c r="F53" s="44"/>
      <c r="G53" s="43" t="str">
        <f>Source!DI29</f>
        <v>)*1,2</v>
      </c>
      <c r="H53" s="10">
        <f>Source!AV29</f>
        <v>1.0469999999999999</v>
      </c>
      <c r="I53" s="45">
        <f>Source!U29</f>
        <v>217.10592</v>
      </c>
      <c r="J53" s="10"/>
      <c r="K53" s="45"/>
    </row>
    <row r="54" spans="1:27" ht="15" x14ac:dyDescent="0.25">
      <c r="A54" s="50"/>
      <c r="B54" s="50"/>
      <c r="C54" s="50"/>
      <c r="D54" s="50"/>
      <c r="E54" s="50"/>
      <c r="F54" s="50"/>
      <c r="G54" s="50"/>
      <c r="H54" s="51">
        <f>I46+I47+I49+I50+I51+I52</f>
        <v>8250.39</v>
      </c>
      <c r="I54" s="51"/>
      <c r="J54" s="51">
        <f>K46+K47+K49+K50+K51+K52</f>
        <v>154749.94</v>
      </c>
      <c r="K54" s="51"/>
      <c r="O54" s="47">
        <f>I46+I47+I49+I50+I51+I52</f>
        <v>8250.39</v>
      </c>
      <c r="P54" s="47">
        <f>K46+K47+K49+K50+K51+K52</f>
        <v>154749.94</v>
      </c>
      <c r="X54">
        <f>IF(Source!BI29&lt;=1,I46+I47+I49+I50+I51+I52-0, 0)</f>
        <v>0</v>
      </c>
      <c r="Y54">
        <f>IF(Source!BI29=2,I46+I47+I49+I50+I51+I52-0, 0)</f>
        <v>8250.39</v>
      </c>
      <c r="Z54">
        <f>IF(Source!BI29=3,I46+I47+I49+I50+I51+I52-0, 0)</f>
        <v>0</v>
      </c>
      <c r="AA54">
        <f>IF(Source!BI29=4,I46+I47+I49+I50+I51+I52,0)</f>
        <v>0</v>
      </c>
    </row>
    <row r="55" spans="1:27" ht="42.75" x14ac:dyDescent="0.2">
      <c r="A55" s="40" t="str">
        <f>Source!E30</f>
        <v>3</v>
      </c>
      <c r="B55" s="41" t="str">
        <f>Source!F30</f>
        <v>4.8-64-3</v>
      </c>
      <c r="C55" s="41" t="s">
        <v>40</v>
      </c>
      <c r="D55" s="42" t="str">
        <f>Source!H30</f>
        <v>т</v>
      </c>
      <c r="E55" s="10">
        <f>Source!I30</f>
        <v>0.42</v>
      </c>
      <c r="F55" s="44"/>
      <c r="G55" s="43"/>
      <c r="H55" s="10"/>
      <c r="I55" s="45"/>
      <c r="J55" s="10"/>
      <c r="K55" s="45"/>
      <c r="Q55">
        <f>ROUND((Source!DN30/100)*ROUND((ROUND((Source!AF30*Source!AV30*Source!I30),2)),2), 2)</f>
        <v>406.91</v>
      </c>
      <c r="R55">
        <f>Source!X30</f>
        <v>6821.62</v>
      </c>
      <c r="S55">
        <f>ROUND((Source!DO30/100)*ROUND((ROUND((Source!AF30*Source!AV30*Source!I30),2)),2), 2)</f>
        <v>239.15</v>
      </c>
      <c r="T55">
        <f>Source!Y30</f>
        <v>3632.29</v>
      </c>
      <c r="U55">
        <f>ROUND((175/100)*ROUND((ROUND((Source!AE30*Source!AV30*Source!I30),2)),2), 2)</f>
        <v>61.39</v>
      </c>
      <c r="V55">
        <f>ROUND((157/100)*ROUND(ROUND((ROUND((Source!AE30*Source!AV30*Source!I30),2)*Source!BS30),2), 2), 2)</f>
        <v>1366.98</v>
      </c>
    </row>
    <row r="56" spans="1:27" ht="14.25" x14ac:dyDescent="0.2">
      <c r="A56" s="40"/>
      <c r="B56" s="41"/>
      <c r="C56" s="41" t="s">
        <v>202</v>
      </c>
      <c r="D56" s="42"/>
      <c r="E56" s="10"/>
      <c r="F56" s="44">
        <f>Source!AO30</f>
        <v>676.43</v>
      </c>
      <c r="G56" s="43" t="str">
        <f>Source!DG30</f>
        <v>)*1,2</v>
      </c>
      <c r="H56" s="10">
        <f>Source!AV30</f>
        <v>1.0469999999999999</v>
      </c>
      <c r="I56" s="45">
        <f>ROUND((ROUND((Source!AF30*Source!AV30*Source!I30),2)),2)</f>
        <v>356.94</v>
      </c>
      <c r="J56" s="10">
        <f>IF(Source!BA30&lt;&gt; 0, Source!BA30, 1)</f>
        <v>24.82</v>
      </c>
      <c r="K56" s="45">
        <f>Source!S30</f>
        <v>8859.25</v>
      </c>
      <c r="W56">
        <f>I56</f>
        <v>356.94</v>
      </c>
    </row>
    <row r="57" spans="1:27" ht="14.25" x14ac:dyDescent="0.2">
      <c r="A57" s="40"/>
      <c r="B57" s="41"/>
      <c r="C57" s="41" t="s">
        <v>203</v>
      </c>
      <c r="D57" s="42"/>
      <c r="E57" s="10"/>
      <c r="F57" s="44">
        <f>Source!AM30</f>
        <v>702.69</v>
      </c>
      <c r="G57" s="43" t="str">
        <f>Source!DE30</f>
        <v>)*1,2</v>
      </c>
      <c r="H57" s="10">
        <f>Source!AV30</f>
        <v>1.0469999999999999</v>
      </c>
      <c r="I57" s="45">
        <f>(ROUND((ROUND((((Source!ET30*1.2))*Source!AV30*Source!I30),2)),2)+ROUND((ROUND(((Source!AE30-((Source!EU30*1.2)))*Source!AV30*Source!I30),2)),2))</f>
        <v>370.8</v>
      </c>
      <c r="J57" s="10">
        <f>IF(Source!BB30&lt;&gt; 0, Source!BB30, 1)</f>
        <v>8.2100000000000009</v>
      </c>
      <c r="K57" s="45">
        <f>Source!Q30</f>
        <v>3044.27</v>
      </c>
    </row>
    <row r="58" spans="1:27" ht="14.25" x14ac:dyDescent="0.2">
      <c r="A58" s="40"/>
      <c r="B58" s="41"/>
      <c r="C58" s="41" t="s">
        <v>204</v>
      </c>
      <c r="D58" s="42"/>
      <c r="E58" s="10"/>
      <c r="F58" s="44">
        <f>Source!AN30</f>
        <v>66.48</v>
      </c>
      <c r="G58" s="43" t="str">
        <f>Source!DF30</f>
        <v>)*1,2</v>
      </c>
      <c r="H58" s="10">
        <f>Source!AV30</f>
        <v>1.0469999999999999</v>
      </c>
      <c r="I58" s="46">
        <f>ROUND((ROUND((Source!AE30*Source!AV30*Source!I30),2)),2)</f>
        <v>35.08</v>
      </c>
      <c r="J58" s="10">
        <f>IF(Source!BS30&lt;&gt; 0, Source!BS30, 1)</f>
        <v>24.82</v>
      </c>
      <c r="K58" s="46">
        <f>Source!R30</f>
        <v>870.69</v>
      </c>
      <c r="W58">
        <f>I58</f>
        <v>35.08</v>
      </c>
    </row>
    <row r="59" spans="1:27" ht="14.25" x14ac:dyDescent="0.2">
      <c r="A59" s="40"/>
      <c r="B59" s="41"/>
      <c r="C59" s="41" t="s">
        <v>211</v>
      </c>
      <c r="D59" s="42"/>
      <c r="E59" s="10"/>
      <c r="F59" s="44">
        <f>Source!AL30</f>
        <v>5453</v>
      </c>
      <c r="G59" s="43" t="str">
        <f>Source!DD30</f>
        <v/>
      </c>
      <c r="H59" s="10">
        <f>Source!AW30</f>
        <v>1</v>
      </c>
      <c r="I59" s="45">
        <f>ROUND((ROUND((Source!AC30*Source!AW30*Source!I30),2)),2)</f>
        <v>2290.2600000000002</v>
      </c>
      <c r="J59" s="10">
        <f>IF(Source!BC30&lt;&gt; 0, Source!BC30, 1)</f>
        <v>5.29</v>
      </c>
      <c r="K59" s="45">
        <f>Source!P30</f>
        <v>12115.48</v>
      </c>
    </row>
    <row r="60" spans="1:27" ht="14.25" x14ac:dyDescent="0.2">
      <c r="A60" s="40"/>
      <c r="B60" s="41"/>
      <c r="C60" s="41" t="s">
        <v>205</v>
      </c>
      <c r="D60" s="42" t="s">
        <v>206</v>
      </c>
      <c r="E60" s="10">
        <f>Source!DN30</f>
        <v>114</v>
      </c>
      <c r="F60" s="44"/>
      <c r="G60" s="43"/>
      <c r="H60" s="10"/>
      <c r="I60" s="45">
        <f>SUM(Q55:Q59)</f>
        <v>406.91</v>
      </c>
      <c r="J60" s="10">
        <f>Source!BZ30</f>
        <v>77</v>
      </c>
      <c r="K60" s="45">
        <f>SUM(R55:R59)</f>
        <v>6821.62</v>
      </c>
    </row>
    <row r="61" spans="1:27" ht="14.25" x14ac:dyDescent="0.2">
      <c r="A61" s="40"/>
      <c r="B61" s="41"/>
      <c r="C61" s="41" t="s">
        <v>207</v>
      </c>
      <c r="D61" s="42" t="s">
        <v>206</v>
      </c>
      <c r="E61" s="10">
        <f>Source!DO30</f>
        <v>67</v>
      </c>
      <c r="F61" s="44"/>
      <c r="G61" s="43"/>
      <c r="H61" s="10"/>
      <c r="I61" s="45">
        <f>SUM(S55:S60)</f>
        <v>239.15</v>
      </c>
      <c r="J61" s="10">
        <f>Source!CA30</f>
        <v>41</v>
      </c>
      <c r="K61" s="45">
        <f>SUM(T55:T60)</f>
        <v>3632.29</v>
      </c>
    </row>
    <row r="62" spans="1:27" ht="14.25" x14ac:dyDescent="0.2">
      <c r="A62" s="40"/>
      <c r="B62" s="41"/>
      <c r="C62" s="41" t="s">
        <v>208</v>
      </c>
      <c r="D62" s="42" t="s">
        <v>206</v>
      </c>
      <c r="E62" s="10">
        <f>175</f>
        <v>175</v>
      </c>
      <c r="F62" s="44"/>
      <c r="G62" s="43"/>
      <c r="H62" s="10"/>
      <c r="I62" s="45">
        <f>SUM(U55:U61)</f>
        <v>61.39</v>
      </c>
      <c r="J62" s="10">
        <f>157</f>
        <v>157</v>
      </c>
      <c r="K62" s="45">
        <f>SUM(V55:V61)</f>
        <v>1366.98</v>
      </c>
    </row>
    <row r="63" spans="1:27" ht="14.25" x14ac:dyDescent="0.2">
      <c r="A63" s="40"/>
      <c r="B63" s="41"/>
      <c r="C63" s="41" t="s">
        <v>209</v>
      </c>
      <c r="D63" s="42" t="s">
        <v>210</v>
      </c>
      <c r="E63" s="10">
        <f>Source!AQ30</f>
        <v>53.6</v>
      </c>
      <c r="F63" s="44"/>
      <c r="G63" s="43" t="str">
        <f>Source!DI30</f>
        <v>)*1,2</v>
      </c>
      <c r="H63" s="10">
        <f>Source!AV30</f>
        <v>1.0469999999999999</v>
      </c>
      <c r="I63" s="45">
        <f>Source!U30</f>
        <v>28.284076799999994</v>
      </c>
      <c r="J63" s="10"/>
      <c r="K63" s="45"/>
    </row>
    <row r="64" spans="1:27" ht="15" x14ac:dyDescent="0.25">
      <c r="A64" s="50"/>
      <c r="B64" s="50"/>
      <c r="C64" s="50"/>
      <c r="D64" s="50"/>
      <c r="E64" s="50"/>
      <c r="F64" s="50"/>
      <c r="G64" s="50"/>
      <c r="H64" s="51">
        <f>I56+I57+I59+I60+I61+I62</f>
        <v>3725.45</v>
      </c>
      <c r="I64" s="51"/>
      <c r="J64" s="51">
        <f>K56+K57+K59+K60+K61+K62</f>
        <v>35839.89</v>
      </c>
      <c r="K64" s="51"/>
      <c r="O64" s="47">
        <f>I56+I57+I59+I60+I61+I62</f>
        <v>3725.45</v>
      </c>
      <c r="P64" s="47">
        <f>K56+K57+K59+K60+K61+K62</f>
        <v>35839.89</v>
      </c>
      <c r="X64">
        <f>IF(Source!BI30&lt;=1,I56+I57+I59+I60+I61+I62-0, 0)</f>
        <v>0</v>
      </c>
      <c r="Y64">
        <f>IF(Source!BI30=2,I56+I57+I59+I60+I61+I62-0, 0)</f>
        <v>3725.45</v>
      </c>
      <c r="Z64">
        <f>IF(Source!BI30=3,I56+I57+I59+I60+I61+I62-0, 0)</f>
        <v>0</v>
      </c>
      <c r="AA64">
        <f>IF(Source!BI30=4,I56+I57+I59+I60+I61+I62,0)</f>
        <v>0</v>
      </c>
    </row>
    <row r="65" spans="1:27" ht="57" x14ac:dyDescent="0.2">
      <c r="A65" s="40" t="str">
        <f>Source!E31</f>
        <v>4</v>
      </c>
      <c r="B65" s="41" t="str">
        <f>Source!F31</f>
        <v>4.8-56-3</v>
      </c>
      <c r="C65" s="41" t="s">
        <v>45</v>
      </c>
      <c r="D65" s="42" t="str">
        <f>Source!H31</f>
        <v>шт.</v>
      </c>
      <c r="E65" s="10">
        <f>Source!I31</f>
        <v>3</v>
      </c>
      <c r="F65" s="44"/>
      <c r="G65" s="43"/>
      <c r="H65" s="10"/>
      <c r="I65" s="45"/>
      <c r="J65" s="10"/>
      <c r="K65" s="45"/>
      <c r="Q65">
        <f>ROUND((Source!DN31/100)*ROUND((ROUND((Source!AF31*Source!AV31*Source!I31),2)),2), 2)</f>
        <v>1339.39</v>
      </c>
      <c r="R65">
        <f>Source!X31</f>
        <v>22453.99</v>
      </c>
      <c r="S65">
        <f>ROUND((Source!DO31/100)*ROUND((ROUND((Source!AF31*Source!AV31*Source!I31),2)),2), 2)</f>
        <v>787.18</v>
      </c>
      <c r="T65">
        <f>Source!Y31</f>
        <v>11956.02</v>
      </c>
      <c r="U65">
        <f>ROUND((175/100)*ROUND((ROUND((Source!AE31*Source!AV31*Source!I31),2)),2), 2)</f>
        <v>48.74</v>
      </c>
      <c r="V65">
        <f>ROUND((157/100)*ROUND(ROUND((ROUND((Source!AE31*Source!AV31*Source!I31),2)*Source!BS31),2), 2), 2)</f>
        <v>1085.25</v>
      </c>
    </row>
    <row r="66" spans="1:27" ht="14.25" x14ac:dyDescent="0.2">
      <c r="A66" s="40"/>
      <c r="B66" s="41"/>
      <c r="C66" s="41" t="s">
        <v>202</v>
      </c>
      <c r="D66" s="42"/>
      <c r="E66" s="10"/>
      <c r="F66" s="44">
        <f>Source!AO31</f>
        <v>311.70999999999998</v>
      </c>
      <c r="G66" s="43" t="str">
        <f>Source!DG31</f>
        <v>)*1,2</v>
      </c>
      <c r="H66" s="10">
        <f>Source!AV31</f>
        <v>1.0469999999999999</v>
      </c>
      <c r="I66" s="45">
        <f>ROUND((ROUND((Source!AF31*Source!AV31*Source!I31),2)),2)</f>
        <v>1174.9000000000001</v>
      </c>
      <c r="J66" s="10">
        <f>IF(Source!BA31&lt;&gt; 0, Source!BA31, 1)</f>
        <v>24.82</v>
      </c>
      <c r="K66" s="45">
        <f>Source!S31</f>
        <v>29161.02</v>
      </c>
      <c r="W66">
        <f>I66</f>
        <v>1174.9000000000001</v>
      </c>
    </row>
    <row r="67" spans="1:27" ht="14.25" x14ac:dyDescent="0.2">
      <c r="A67" s="40"/>
      <c r="B67" s="41"/>
      <c r="C67" s="41" t="s">
        <v>203</v>
      </c>
      <c r="D67" s="42"/>
      <c r="E67" s="10"/>
      <c r="F67" s="44">
        <f>Source!AM31</f>
        <v>54.52</v>
      </c>
      <c r="G67" s="43" t="str">
        <f>Source!DE31</f>
        <v>)*1,2</v>
      </c>
      <c r="H67" s="10">
        <f>Source!AV31</f>
        <v>1.0469999999999999</v>
      </c>
      <c r="I67" s="45">
        <f>(ROUND((ROUND((((Source!ET31*1.2))*Source!AV31*Source!I31),2)),2)+ROUND((ROUND(((Source!AE31-((Source!EU31*1.2)))*Source!AV31*Source!I31),2)),2))</f>
        <v>205.5</v>
      </c>
      <c r="J67" s="10">
        <f>IF(Source!BB31&lt;&gt; 0, Source!BB31, 1)</f>
        <v>7.47</v>
      </c>
      <c r="K67" s="45">
        <f>Source!Q31</f>
        <v>1535.09</v>
      </c>
    </row>
    <row r="68" spans="1:27" ht="14.25" x14ac:dyDescent="0.2">
      <c r="A68" s="40"/>
      <c r="B68" s="41"/>
      <c r="C68" s="41" t="s">
        <v>204</v>
      </c>
      <c r="D68" s="42"/>
      <c r="E68" s="10"/>
      <c r="F68" s="44">
        <f>Source!AN31</f>
        <v>7.39</v>
      </c>
      <c r="G68" s="43" t="str">
        <f>Source!DF31</f>
        <v>)*1,2</v>
      </c>
      <c r="H68" s="10">
        <f>Source!AV31</f>
        <v>1.0469999999999999</v>
      </c>
      <c r="I68" s="46">
        <f>ROUND((ROUND((Source!AE31*Source!AV31*Source!I31),2)),2)</f>
        <v>27.85</v>
      </c>
      <c r="J68" s="10">
        <f>IF(Source!BS31&lt;&gt; 0, Source!BS31, 1)</f>
        <v>24.82</v>
      </c>
      <c r="K68" s="46">
        <f>Source!R31</f>
        <v>691.24</v>
      </c>
      <c r="W68">
        <f>I68</f>
        <v>27.85</v>
      </c>
    </row>
    <row r="69" spans="1:27" ht="14.25" x14ac:dyDescent="0.2">
      <c r="A69" s="40"/>
      <c r="B69" s="41"/>
      <c r="C69" s="41" t="s">
        <v>211</v>
      </c>
      <c r="D69" s="42"/>
      <c r="E69" s="10"/>
      <c r="F69" s="44">
        <f>Source!AL31</f>
        <v>114.8</v>
      </c>
      <c r="G69" s="43" t="str">
        <f>Source!DD31</f>
        <v/>
      </c>
      <c r="H69" s="10">
        <f>Source!AW31</f>
        <v>1</v>
      </c>
      <c r="I69" s="45">
        <f>ROUND((ROUND((Source!AC31*Source!AW31*Source!I31),2)),2)</f>
        <v>344.4</v>
      </c>
      <c r="J69" s="10">
        <f>IF(Source!BC31&lt;&gt; 0, Source!BC31, 1)</f>
        <v>5.29</v>
      </c>
      <c r="K69" s="45">
        <f>Source!P31</f>
        <v>1821.88</v>
      </c>
    </row>
    <row r="70" spans="1:27" ht="14.25" x14ac:dyDescent="0.2">
      <c r="A70" s="40"/>
      <c r="B70" s="41"/>
      <c r="C70" s="41" t="s">
        <v>205</v>
      </c>
      <c r="D70" s="42" t="s">
        <v>206</v>
      </c>
      <c r="E70" s="10">
        <f>Source!DN31</f>
        <v>114</v>
      </c>
      <c r="F70" s="44"/>
      <c r="G70" s="43"/>
      <c r="H70" s="10"/>
      <c r="I70" s="45">
        <f>SUM(Q65:Q69)</f>
        <v>1339.39</v>
      </c>
      <c r="J70" s="10">
        <f>Source!BZ31</f>
        <v>77</v>
      </c>
      <c r="K70" s="45">
        <f>SUM(R65:R69)</f>
        <v>22453.99</v>
      </c>
    </row>
    <row r="71" spans="1:27" ht="14.25" x14ac:dyDescent="0.2">
      <c r="A71" s="40"/>
      <c r="B71" s="41"/>
      <c r="C71" s="41" t="s">
        <v>207</v>
      </c>
      <c r="D71" s="42" t="s">
        <v>206</v>
      </c>
      <c r="E71" s="10">
        <f>Source!DO31</f>
        <v>67</v>
      </c>
      <c r="F71" s="44"/>
      <c r="G71" s="43"/>
      <c r="H71" s="10"/>
      <c r="I71" s="45">
        <f>SUM(S65:S70)</f>
        <v>787.18</v>
      </c>
      <c r="J71" s="10">
        <f>Source!CA31</f>
        <v>41</v>
      </c>
      <c r="K71" s="45">
        <f>SUM(T65:T70)</f>
        <v>11956.02</v>
      </c>
    </row>
    <row r="72" spans="1:27" ht="14.25" x14ac:dyDescent="0.2">
      <c r="A72" s="40"/>
      <c r="B72" s="41"/>
      <c r="C72" s="41" t="s">
        <v>208</v>
      </c>
      <c r="D72" s="42" t="s">
        <v>206</v>
      </c>
      <c r="E72" s="10">
        <f>175</f>
        <v>175</v>
      </c>
      <c r="F72" s="44"/>
      <c r="G72" s="43"/>
      <c r="H72" s="10"/>
      <c r="I72" s="45">
        <f>SUM(U65:U71)</f>
        <v>48.74</v>
      </c>
      <c r="J72" s="10">
        <f>157</f>
        <v>157</v>
      </c>
      <c r="K72" s="45">
        <f>SUM(V65:V71)</f>
        <v>1085.25</v>
      </c>
    </row>
    <row r="73" spans="1:27" ht="14.25" x14ac:dyDescent="0.2">
      <c r="A73" s="40"/>
      <c r="B73" s="41"/>
      <c r="C73" s="41" t="s">
        <v>209</v>
      </c>
      <c r="D73" s="42" t="s">
        <v>210</v>
      </c>
      <c r="E73" s="10">
        <f>Source!AQ31</f>
        <v>24.7</v>
      </c>
      <c r="F73" s="44"/>
      <c r="G73" s="43" t="str">
        <f>Source!DI31</f>
        <v>)*1,2</v>
      </c>
      <c r="H73" s="10">
        <f>Source!AV31</f>
        <v>1.0469999999999999</v>
      </c>
      <c r="I73" s="45">
        <f>Source!U31</f>
        <v>93.09923999999998</v>
      </c>
      <c r="J73" s="10"/>
      <c r="K73" s="45"/>
    </row>
    <row r="74" spans="1:27" ht="15" x14ac:dyDescent="0.25">
      <c r="A74" s="50"/>
      <c r="B74" s="50"/>
      <c r="C74" s="50"/>
      <c r="D74" s="50"/>
      <c r="E74" s="50"/>
      <c r="F74" s="50"/>
      <c r="G74" s="50"/>
      <c r="H74" s="51">
        <f>I66+I67+I69+I70+I71+I72</f>
        <v>3900.11</v>
      </c>
      <c r="I74" s="51"/>
      <c r="J74" s="51">
        <f>K66+K67+K69+K70+K71+K72</f>
        <v>68013.25</v>
      </c>
      <c r="K74" s="51"/>
      <c r="O74" s="47">
        <f>I66+I67+I69+I70+I71+I72</f>
        <v>3900.11</v>
      </c>
      <c r="P74" s="47">
        <f>K66+K67+K69+K70+K71+K72</f>
        <v>68013.25</v>
      </c>
      <c r="X74">
        <f>IF(Source!BI31&lt;=1,I66+I67+I69+I70+I71+I72-0, 0)</f>
        <v>0</v>
      </c>
      <c r="Y74">
        <f>IF(Source!BI31=2,I66+I67+I69+I70+I71+I72-0, 0)</f>
        <v>3900.11</v>
      </c>
      <c r="Z74">
        <f>IF(Source!BI31=3,I66+I67+I69+I70+I71+I72-0, 0)</f>
        <v>0</v>
      </c>
      <c r="AA74">
        <f>IF(Source!BI31=4,I66+I67+I69+I70+I71+I72,0)</f>
        <v>0</v>
      </c>
    </row>
    <row r="75" spans="1:27" ht="57" x14ac:dyDescent="0.2">
      <c r="A75" s="40" t="str">
        <f>Source!E32</f>
        <v>5</v>
      </c>
      <c r="B75" s="41" t="str">
        <f>Source!F32</f>
        <v>4.8-56-3</v>
      </c>
      <c r="C75" s="41" t="s">
        <v>48</v>
      </c>
      <c r="D75" s="42" t="str">
        <f>Source!H32</f>
        <v>шт.</v>
      </c>
      <c r="E75" s="10">
        <f>Source!I32</f>
        <v>3</v>
      </c>
      <c r="F75" s="44"/>
      <c r="G75" s="43"/>
      <c r="H75" s="10"/>
      <c r="I75" s="45"/>
      <c r="J75" s="10"/>
      <c r="K75" s="45"/>
      <c r="Q75">
        <f>ROUND((Source!DN32/100)*ROUND((ROUND((Source!AF32*Source!AV32*Source!I32),2)),2), 2)</f>
        <v>669.69</v>
      </c>
      <c r="R75">
        <f>Source!X32</f>
        <v>11226.99</v>
      </c>
      <c r="S75">
        <f>ROUND((Source!DO32/100)*ROUND((ROUND((Source!AF32*Source!AV32*Source!I32),2)),2), 2)</f>
        <v>393.59</v>
      </c>
      <c r="T75">
        <f>Source!Y32</f>
        <v>5978.01</v>
      </c>
      <c r="U75">
        <f>ROUND((175/100)*ROUND((ROUND((Source!AE32*Source!AV32*Source!I32),2)),2), 2)</f>
        <v>24.38</v>
      </c>
      <c r="V75">
        <f>ROUND((157/100)*ROUND(ROUND((ROUND((Source!AE32*Source!AV32*Source!I32),2)*Source!BS32),2), 2), 2)</f>
        <v>542.80999999999995</v>
      </c>
    </row>
    <row r="76" spans="1:27" ht="28.5" x14ac:dyDescent="0.2">
      <c r="A76" s="40"/>
      <c r="B76" s="41"/>
      <c r="C76" s="41" t="s">
        <v>202</v>
      </c>
      <c r="D76" s="42"/>
      <c r="E76" s="10"/>
      <c r="F76" s="44">
        <f>Source!AO32</f>
        <v>311.70999999999998</v>
      </c>
      <c r="G76" s="43" t="str">
        <f>Source!DG32</f>
        <v>)*1,2)*0,5</v>
      </c>
      <c r="H76" s="10">
        <f>Source!AV32</f>
        <v>1.0469999999999999</v>
      </c>
      <c r="I76" s="45">
        <f>ROUND((ROUND((Source!AF32*Source!AV32*Source!I32),2)),2)</f>
        <v>587.45000000000005</v>
      </c>
      <c r="J76" s="10">
        <f>IF(Source!BA32&lt;&gt; 0, Source!BA32, 1)</f>
        <v>24.82</v>
      </c>
      <c r="K76" s="45">
        <f>Source!S32</f>
        <v>14580.51</v>
      </c>
      <c r="W76">
        <f>I76</f>
        <v>587.45000000000005</v>
      </c>
    </row>
    <row r="77" spans="1:27" ht="28.5" x14ac:dyDescent="0.2">
      <c r="A77" s="40"/>
      <c r="B77" s="41"/>
      <c r="C77" s="41" t="s">
        <v>203</v>
      </c>
      <c r="D77" s="42"/>
      <c r="E77" s="10"/>
      <c r="F77" s="44">
        <f>Source!AM32</f>
        <v>54.52</v>
      </c>
      <c r="G77" s="43" t="str">
        <f>Source!DE32</f>
        <v>)*1,2)*0,5</v>
      </c>
      <c r="H77" s="10">
        <f>Source!AV32</f>
        <v>1.0469999999999999</v>
      </c>
      <c r="I77" s="45">
        <f>(ROUND((ROUND(((((Source!ET32*1.2)*0.5))*Source!AV32*Source!I32),2)),2)+ROUND((ROUND(((Source!AE32-(((Source!EU32*1.2)*0.5)))*Source!AV32*Source!I32),2)),2))</f>
        <v>102.75</v>
      </c>
      <c r="J77" s="10">
        <f>IF(Source!BB32&lt;&gt; 0, Source!BB32, 1)</f>
        <v>7.47</v>
      </c>
      <c r="K77" s="45">
        <f>Source!Q32</f>
        <v>767.54</v>
      </c>
    </row>
    <row r="78" spans="1:27" ht="28.5" x14ac:dyDescent="0.2">
      <c r="A78" s="40"/>
      <c r="B78" s="41"/>
      <c r="C78" s="41" t="s">
        <v>204</v>
      </c>
      <c r="D78" s="42"/>
      <c r="E78" s="10"/>
      <c r="F78" s="44">
        <f>Source!AN32</f>
        <v>7.39</v>
      </c>
      <c r="G78" s="43" t="str">
        <f>Source!DF32</f>
        <v>)*1,2)*0,5</v>
      </c>
      <c r="H78" s="10">
        <f>Source!AV32</f>
        <v>1.0469999999999999</v>
      </c>
      <c r="I78" s="46">
        <f>ROUND((ROUND((Source!AE32*Source!AV32*Source!I32),2)),2)</f>
        <v>13.93</v>
      </c>
      <c r="J78" s="10">
        <f>IF(Source!BS32&lt;&gt; 0, Source!BS32, 1)</f>
        <v>24.82</v>
      </c>
      <c r="K78" s="46">
        <f>Source!R32</f>
        <v>345.74</v>
      </c>
      <c r="W78">
        <f>I78</f>
        <v>13.93</v>
      </c>
    </row>
    <row r="79" spans="1:27" ht="14.25" x14ac:dyDescent="0.2">
      <c r="A79" s="40"/>
      <c r="B79" s="41"/>
      <c r="C79" s="41" t="s">
        <v>205</v>
      </c>
      <c r="D79" s="42" t="s">
        <v>206</v>
      </c>
      <c r="E79" s="10">
        <f>Source!DN32</f>
        <v>114</v>
      </c>
      <c r="F79" s="44"/>
      <c r="G79" s="43"/>
      <c r="H79" s="10"/>
      <c r="I79" s="45">
        <f>SUM(Q75:Q78)</f>
        <v>669.69</v>
      </c>
      <c r="J79" s="10">
        <f>Source!BZ32</f>
        <v>77</v>
      </c>
      <c r="K79" s="45">
        <f>SUM(R75:R78)</f>
        <v>11226.99</v>
      </c>
    </row>
    <row r="80" spans="1:27" ht="14.25" x14ac:dyDescent="0.2">
      <c r="A80" s="40"/>
      <c r="B80" s="41"/>
      <c r="C80" s="41" t="s">
        <v>207</v>
      </c>
      <c r="D80" s="42" t="s">
        <v>206</v>
      </c>
      <c r="E80" s="10">
        <f>Source!DO32</f>
        <v>67</v>
      </c>
      <c r="F80" s="44"/>
      <c r="G80" s="43"/>
      <c r="H80" s="10"/>
      <c r="I80" s="45">
        <f>SUM(S75:S79)</f>
        <v>393.59</v>
      </c>
      <c r="J80" s="10">
        <f>Source!CA32</f>
        <v>41</v>
      </c>
      <c r="K80" s="45">
        <f>SUM(T75:T79)</f>
        <v>5978.01</v>
      </c>
    </row>
    <row r="81" spans="1:27" ht="14.25" x14ac:dyDescent="0.2">
      <c r="A81" s="40"/>
      <c r="B81" s="41"/>
      <c r="C81" s="41" t="s">
        <v>208</v>
      </c>
      <c r="D81" s="42" t="s">
        <v>206</v>
      </c>
      <c r="E81" s="10">
        <f>175</f>
        <v>175</v>
      </c>
      <c r="F81" s="44"/>
      <c r="G81" s="43"/>
      <c r="H81" s="10"/>
      <c r="I81" s="45">
        <f>SUM(U75:U80)</f>
        <v>24.38</v>
      </c>
      <c r="J81" s="10">
        <f>157</f>
        <v>157</v>
      </c>
      <c r="K81" s="45">
        <f>SUM(V75:V80)</f>
        <v>542.80999999999995</v>
      </c>
    </row>
    <row r="82" spans="1:27" ht="28.5" x14ac:dyDescent="0.2">
      <c r="A82" s="40"/>
      <c r="B82" s="41"/>
      <c r="C82" s="41" t="s">
        <v>209</v>
      </c>
      <c r="D82" s="42" t="s">
        <v>210</v>
      </c>
      <c r="E82" s="10">
        <f>Source!AQ32</f>
        <v>24.7</v>
      </c>
      <c r="F82" s="44"/>
      <c r="G82" s="43" t="str">
        <f>Source!DI32</f>
        <v>)*1,2)*0,5</v>
      </c>
      <c r="H82" s="10">
        <f>Source!AV32</f>
        <v>1.0469999999999999</v>
      </c>
      <c r="I82" s="45">
        <f>Source!U32</f>
        <v>46.54961999999999</v>
      </c>
      <c r="J82" s="10"/>
      <c r="K82" s="45"/>
    </row>
    <row r="83" spans="1:27" ht="15" x14ac:dyDescent="0.25">
      <c r="A83" s="50"/>
      <c r="B83" s="50"/>
      <c r="C83" s="50"/>
      <c r="D83" s="50"/>
      <c r="E83" s="50"/>
      <c r="F83" s="50"/>
      <c r="G83" s="50"/>
      <c r="H83" s="51">
        <f>I76+I77+I79+I80+I81</f>
        <v>1777.8600000000001</v>
      </c>
      <c r="I83" s="51"/>
      <c r="J83" s="51">
        <f>K76+K77+K79+K80+K81</f>
        <v>33095.86</v>
      </c>
      <c r="K83" s="51"/>
      <c r="O83" s="47">
        <f>I76+I77+I79+I80+I81</f>
        <v>1777.8600000000001</v>
      </c>
      <c r="P83" s="47">
        <f>K76+K77+K79+K80+K81</f>
        <v>33095.86</v>
      </c>
      <c r="X83">
        <f>IF(Source!BI32&lt;=1,I76+I77+I79+I80+I81-0, 0)</f>
        <v>0</v>
      </c>
      <c r="Y83">
        <f>IF(Source!BI32=2,I76+I77+I79+I80+I81-0, 0)</f>
        <v>1777.8600000000001</v>
      </c>
      <c r="Z83">
        <f>IF(Source!BI32=3,I76+I77+I79+I80+I81-0, 0)</f>
        <v>0</v>
      </c>
      <c r="AA83">
        <f>IF(Source!BI32=4,I76+I77+I79+I80+I81,0)</f>
        <v>0</v>
      </c>
    </row>
    <row r="84" spans="1:27" ht="28.5" x14ac:dyDescent="0.2">
      <c r="A84" s="40" t="str">
        <f>Source!E33</f>
        <v>6</v>
      </c>
      <c r="B84" s="41" t="str">
        <f>Source!F33</f>
        <v>4.8-47-2</v>
      </c>
      <c r="C84" s="41" t="s">
        <v>51</v>
      </c>
      <c r="D84" s="42" t="str">
        <f>Source!H33</f>
        <v>100 м</v>
      </c>
      <c r="E84" s="10">
        <f>Source!I33</f>
        <v>0.36</v>
      </c>
      <c r="F84" s="44"/>
      <c r="G84" s="43"/>
      <c r="H84" s="10"/>
      <c r="I84" s="45"/>
      <c r="J84" s="10"/>
      <c r="K84" s="45"/>
      <c r="Q84">
        <f>ROUND((Source!DN33/100)*ROUND((ROUND((Source!AF33*Source!AV33*Source!I33),2)),2), 2)</f>
        <v>361.8</v>
      </c>
      <c r="R84">
        <f>Source!X33</f>
        <v>6065.38</v>
      </c>
      <c r="S84">
        <f>ROUND((Source!DO33/100)*ROUND((ROUND((Source!AF33*Source!AV33*Source!I33),2)),2), 2)</f>
        <v>212.64</v>
      </c>
      <c r="T84">
        <f>Source!Y33</f>
        <v>3229.62</v>
      </c>
      <c r="U84">
        <f>ROUND((175/100)*ROUND((ROUND((Source!AE33*Source!AV33*Source!I33),2)),2), 2)</f>
        <v>96.08</v>
      </c>
      <c r="V84">
        <f>ROUND((157/100)*ROUND(ROUND((ROUND((Source!AE33*Source!AV33*Source!I33),2)*Source!BS33),2), 2), 2)</f>
        <v>2139.31</v>
      </c>
    </row>
    <row r="85" spans="1:27" x14ac:dyDescent="0.2">
      <c r="C85" s="52" t="str">
        <f>"Объем: "&amp;Source!I33&amp;"=36/"&amp;"100"</f>
        <v>Объем: 0,36=36/100</v>
      </c>
    </row>
    <row r="86" spans="1:27" ht="14.25" x14ac:dyDescent="0.2">
      <c r="A86" s="40"/>
      <c r="B86" s="41"/>
      <c r="C86" s="41" t="s">
        <v>202</v>
      </c>
      <c r="D86" s="42"/>
      <c r="E86" s="10"/>
      <c r="F86" s="44">
        <f>Source!AO33</f>
        <v>701.67</v>
      </c>
      <c r="G86" s="43" t="str">
        <f>Source!DG33</f>
        <v>)*1,2</v>
      </c>
      <c r="H86" s="10">
        <f>Source!AV33</f>
        <v>1.0469999999999999</v>
      </c>
      <c r="I86" s="45">
        <f>ROUND((ROUND((Source!AF33*Source!AV33*Source!I33),2)),2)</f>
        <v>317.37</v>
      </c>
      <c r="J86" s="10">
        <f>IF(Source!BA33&lt;&gt; 0, Source!BA33, 1)</f>
        <v>24.82</v>
      </c>
      <c r="K86" s="45">
        <f>Source!S33</f>
        <v>7877.12</v>
      </c>
      <c r="W86">
        <f>I86</f>
        <v>317.37</v>
      </c>
    </row>
    <row r="87" spans="1:27" ht="14.25" x14ac:dyDescent="0.2">
      <c r="A87" s="40"/>
      <c r="B87" s="41"/>
      <c r="C87" s="41" t="s">
        <v>203</v>
      </c>
      <c r="D87" s="42"/>
      <c r="E87" s="10"/>
      <c r="F87" s="44">
        <f>Source!AM33</f>
        <v>523.13</v>
      </c>
      <c r="G87" s="43" t="str">
        <f>Source!DE33</f>
        <v>)*1,2</v>
      </c>
      <c r="H87" s="10">
        <f>Source!AV33</f>
        <v>1.0469999999999999</v>
      </c>
      <c r="I87" s="45">
        <f>(ROUND((ROUND((((Source!ET33*1.2))*Source!AV33*Source!I33),2)),2)+ROUND((ROUND(((Source!AE33-((Source!EU33*1.2)))*Source!AV33*Source!I33),2)),2))</f>
        <v>236.61</v>
      </c>
      <c r="J87" s="10">
        <f>IF(Source!BB33&lt;&gt; 0, Source!BB33, 1)</f>
        <v>10.71</v>
      </c>
      <c r="K87" s="45">
        <f>Source!Q33</f>
        <v>2534.09</v>
      </c>
    </row>
    <row r="88" spans="1:27" ht="14.25" x14ac:dyDescent="0.2">
      <c r="A88" s="40"/>
      <c r="B88" s="41"/>
      <c r="C88" s="41" t="s">
        <v>204</v>
      </c>
      <c r="D88" s="42"/>
      <c r="E88" s="10"/>
      <c r="F88" s="44">
        <f>Source!AN33</f>
        <v>121.38</v>
      </c>
      <c r="G88" s="43" t="str">
        <f>Source!DF33</f>
        <v>)*1,2</v>
      </c>
      <c r="H88" s="10">
        <f>Source!AV33</f>
        <v>1.0469999999999999</v>
      </c>
      <c r="I88" s="46">
        <f>ROUND((ROUND((Source!AE33*Source!AV33*Source!I33),2)),2)</f>
        <v>54.9</v>
      </c>
      <c r="J88" s="10">
        <f>IF(Source!BS33&lt;&gt; 0, Source!BS33, 1)</f>
        <v>24.82</v>
      </c>
      <c r="K88" s="46">
        <f>Source!R33</f>
        <v>1362.62</v>
      </c>
      <c r="W88">
        <f>I88</f>
        <v>54.9</v>
      </c>
    </row>
    <row r="89" spans="1:27" ht="14.25" x14ac:dyDescent="0.2">
      <c r="A89" s="40"/>
      <c r="B89" s="41"/>
      <c r="C89" s="41" t="s">
        <v>211</v>
      </c>
      <c r="D89" s="42"/>
      <c r="E89" s="10"/>
      <c r="F89" s="44">
        <f>Source!AL33</f>
        <v>81.2</v>
      </c>
      <c r="G89" s="43" t="str">
        <f>Source!DD33</f>
        <v/>
      </c>
      <c r="H89" s="10">
        <f>Source!AW33</f>
        <v>1</v>
      </c>
      <c r="I89" s="45">
        <f>ROUND((ROUND((Source!AC33*Source!AW33*Source!I33),2)),2)</f>
        <v>29.23</v>
      </c>
      <c r="J89" s="10">
        <f>IF(Source!BC33&lt;&gt; 0, Source!BC33, 1)</f>
        <v>5.29</v>
      </c>
      <c r="K89" s="45">
        <f>Source!P33</f>
        <v>154.63</v>
      </c>
    </row>
    <row r="90" spans="1:27" ht="14.25" x14ac:dyDescent="0.2">
      <c r="A90" s="40"/>
      <c r="B90" s="41"/>
      <c r="C90" s="41" t="s">
        <v>205</v>
      </c>
      <c r="D90" s="42" t="s">
        <v>206</v>
      </c>
      <c r="E90" s="10">
        <f>Source!DN33</f>
        <v>114</v>
      </c>
      <c r="F90" s="44"/>
      <c r="G90" s="43"/>
      <c r="H90" s="10"/>
      <c r="I90" s="45">
        <f>SUM(Q84:Q89)</f>
        <v>361.8</v>
      </c>
      <c r="J90" s="10">
        <f>Source!BZ33</f>
        <v>77</v>
      </c>
      <c r="K90" s="45">
        <f>SUM(R84:R89)</f>
        <v>6065.38</v>
      </c>
    </row>
    <row r="91" spans="1:27" ht="14.25" x14ac:dyDescent="0.2">
      <c r="A91" s="40"/>
      <c r="B91" s="41"/>
      <c r="C91" s="41" t="s">
        <v>207</v>
      </c>
      <c r="D91" s="42" t="s">
        <v>206</v>
      </c>
      <c r="E91" s="10">
        <f>Source!DO33</f>
        <v>67</v>
      </c>
      <c r="F91" s="44"/>
      <c r="G91" s="43"/>
      <c r="H91" s="10"/>
      <c r="I91" s="45">
        <f>SUM(S84:S90)</f>
        <v>212.64</v>
      </c>
      <c r="J91" s="10">
        <f>Source!CA33</f>
        <v>41</v>
      </c>
      <c r="K91" s="45">
        <f>SUM(T84:T90)</f>
        <v>3229.62</v>
      </c>
    </row>
    <row r="92" spans="1:27" ht="14.25" x14ac:dyDescent="0.2">
      <c r="A92" s="40"/>
      <c r="B92" s="41"/>
      <c r="C92" s="41" t="s">
        <v>208</v>
      </c>
      <c r="D92" s="42" t="s">
        <v>206</v>
      </c>
      <c r="E92" s="10">
        <f>175</f>
        <v>175</v>
      </c>
      <c r="F92" s="44"/>
      <c r="G92" s="43"/>
      <c r="H92" s="10"/>
      <c r="I92" s="45">
        <f>SUM(U84:U91)</f>
        <v>96.08</v>
      </c>
      <c r="J92" s="10">
        <f>157</f>
        <v>157</v>
      </c>
      <c r="K92" s="45">
        <f>SUM(V84:V91)</f>
        <v>2139.31</v>
      </c>
    </row>
    <row r="93" spans="1:27" ht="14.25" x14ac:dyDescent="0.2">
      <c r="A93" s="40"/>
      <c r="B93" s="41"/>
      <c r="C93" s="41" t="s">
        <v>209</v>
      </c>
      <c r="D93" s="42" t="s">
        <v>210</v>
      </c>
      <c r="E93" s="10">
        <f>Source!AQ33</f>
        <v>55.6</v>
      </c>
      <c r="F93" s="44"/>
      <c r="G93" s="43" t="str">
        <f>Source!DI33</f>
        <v>)*1,2</v>
      </c>
      <c r="H93" s="10">
        <f>Source!AV33</f>
        <v>1.0469999999999999</v>
      </c>
      <c r="I93" s="45">
        <f>Source!U33</f>
        <v>25.148102399999999</v>
      </c>
      <c r="J93" s="10"/>
      <c r="K93" s="45"/>
    </row>
    <row r="94" spans="1:27" ht="15" x14ac:dyDescent="0.25">
      <c r="A94" s="50"/>
      <c r="B94" s="50"/>
      <c r="C94" s="50"/>
      <c r="D94" s="50"/>
      <c r="E94" s="50"/>
      <c r="F94" s="50"/>
      <c r="G94" s="50"/>
      <c r="H94" s="51">
        <f>I86+I87+I89+I90+I91+I92</f>
        <v>1253.73</v>
      </c>
      <c r="I94" s="51"/>
      <c r="J94" s="51">
        <f>K86+K87+K89+K90+K91+K92</f>
        <v>22000.149999999998</v>
      </c>
      <c r="K94" s="51"/>
      <c r="O94" s="47">
        <f>I86+I87+I89+I90+I91+I92</f>
        <v>1253.73</v>
      </c>
      <c r="P94" s="47">
        <f>K86+K87+K89+K90+K91+K92</f>
        <v>22000.149999999998</v>
      </c>
      <c r="X94">
        <f>IF(Source!BI33&lt;=1,I86+I87+I89+I90+I91+I92-0, 0)</f>
        <v>0</v>
      </c>
      <c r="Y94">
        <f>IF(Source!BI33=2,I86+I87+I89+I90+I91+I92-0, 0)</f>
        <v>1253.73</v>
      </c>
      <c r="Z94">
        <f>IF(Source!BI33=3,I86+I87+I89+I90+I91+I92-0, 0)</f>
        <v>0</v>
      </c>
      <c r="AA94">
        <f>IF(Source!BI33=4,I86+I87+I89+I90+I91+I92,0)</f>
        <v>0</v>
      </c>
    </row>
    <row r="96" spans="1:27" ht="15" x14ac:dyDescent="0.25">
      <c r="A96" s="55" t="str">
        <f>CONCATENATE("Итого по разделу: ",IF(Source!G35&lt;&gt;"Новый раздел", Source!G35, ""))</f>
        <v>Итого по разделу: Электромонтажные работы</v>
      </c>
      <c r="B96" s="55"/>
      <c r="C96" s="55"/>
      <c r="D96" s="55"/>
      <c r="E96" s="55"/>
      <c r="F96" s="55"/>
      <c r="G96" s="55"/>
      <c r="H96" s="49">
        <f>SUM(O35:O95)</f>
        <v>22996.34</v>
      </c>
      <c r="I96" s="54"/>
      <c r="J96" s="49">
        <f>SUM(P35:P95)</f>
        <v>390881.54000000004</v>
      </c>
      <c r="K96" s="54"/>
    </row>
    <row r="97" spans="1:27" hidden="1" x14ac:dyDescent="0.2">
      <c r="A97" t="s">
        <v>212</v>
      </c>
      <c r="H97">
        <f>SUM(AC35:AC96)</f>
        <v>0</v>
      </c>
      <c r="J97">
        <f>SUM(AD35:AD96)</f>
        <v>0</v>
      </c>
    </row>
    <row r="98" spans="1:27" hidden="1" x14ac:dyDescent="0.2">
      <c r="A98" t="s">
        <v>213</v>
      </c>
      <c r="H98">
        <f>SUM(AE35:AE97)</f>
        <v>0</v>
      </c>
      <c r="J98">
        <f>SUM(AF35:AF97)</f>
        <v>0</v>
      </c>
    </row>
    <row r="100" spans="1:27" ht="16.5" x14ac:dyDescent="0.25">
      <c r="A100" s="39" t="str">
        <f>CONCATENATE("Раздел: ",IF(Source!G65&lt;&gt;"Новый раздел", Source!G65, ""))</f>
        <v>Раздел: Пусконаладочные работы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1:27" ht="28.5" x14ac:dyDescent="0.2">
      <c r="A101" s="40" t="str">
        <f>Source!E69</f>
        <v>7</v>
      </c>
      <c r="B101" s="41" t="str">
        <f>Source!F69</f>
        <v>5.1-26-1</v>
      </c>
      <c r="C101" s="41" t="s">
        <v>111</v>
      </c>
      <c r="D101" s="42" t="str">
        <f>Source!H69</f>
        <v>шт.</v>
      </c>
      <c r="E101" s="10">
        <f>Source!I69</f>
        <v>8</v>
      </c>
      <c r="F101" s="44"/>
      <c r="G101" s="43"/>
      <c r="H101" s="10"/>
      <c r="I101" s="45"/>
      <c r="J101" s="10"/>
      <c r="K101" s="45"/>
      <c r="Q101">
        <f>ROUND((Source!DN69/100)*ROUND((ROUND((Source!AF69*Source!AV69*Source!I69),2)),2), 2)</f>
        <v>810.64</v>
      </c>
      <c r="R101">
        <f>Source!X69</f>
        <v>18242.16</v>
      </c>
      <c r="S101">
        <f>ROUND((Source!DO69/100)*ROUND((ROUND((Source!AF69*Source!AV69*Source!I69),2)),2), 2)</f>
        <v>756.6</v>
      </c>
      <c r="T101">
        <f>Source!Y69</f>
        <v>10998.95</v>
      </c>
      <c r="U101">
        <f>ROUND((175/100)*ROUND((ROUND((Source!AE69*Source!AV69*Source!I69),2)),2), 2)</f>
        <v>0</v>
      </c>
      <c r="V101">
        <f>ROUND((157/100)*ROUND(ROUND((ROUND((Source!AE69*Source!AV69*Source!I69),2)*Source!BS69),2), 2), 2)</f>
        <v>0</v>
      </c>
    </row>
    <row r="102" spans="1:27" ht="28.5" x14ac:dyDescent="0.2">
      <c r="A102" s="40"/>
      <c r="B102" s="41"/>
      <c r="C102" s="41" t="s">
        <v>202</v>
      </c>
      <c r="D102" s="42"/>
      <c r="E102" s="10"/>
      <c r="F102" s="44">
        <f>Source!AO69</f>
        <v>129.91</v>
      </c>
      <c r="G102" s="43" t="str">
        <f>Source!DG69</f>
        <v>)*1,3)*0,8</v>
      </c>
      <c r="H102" s="10">
        <f>Source!AV69</f>
        <v>1</v>
      </c>
      <c r="I102" s="45">
        <f>ROUND((ROUND((Source!AF69*Source!AV69*Source!I69),2)),2)</f>
        <v>1080.8499999999999</v>
      </c>
      <c r="J102" s="10">
        <f>IF(Source!BA69&lt;&gt; 0, Source!BA69, 1)</f>
        <v>24.82</v>
      </c>
      <c r="K102" s="45">
        <f>Source!S69</f>
        <v>26826.7</v>
      </c>
      <c r="W102">
        <f>I102</f>
        <v>1080.8499999999999</v>
      </c>
    </row>
    <row r="103" spans="1:27" ht="14.25" x14ac:dyDescent="0.2">
      <c r="A103" s="40"/>
      <c r="B103" s="41"/>
      <c r="C103" s="41" t="s">
        <v>205</v>
      </c>
      <c r="D103" s="42" t="s">
        <v>206</v>
      </c>
      <c r="E103" s="10">
        <f>Source!DN69</f>
        <v>75</v>
      </c>
      <c r="F103" s="44"/>
      <c r="G103" s="43"/>
      <c r="H103" s="10"/>
      <c r="I103" s="45">
        <f>SUM(Q101:Q102)</f>
        <v>810.64</v>
      </c>
      <c r="J103" s="10">
        <f>Source!BZ69</f>
        <v>68</v>
      </c>
      <c r="K103" s="45">
        <f>SUM(R101:R102)</f>
        <v>18242.16</v>
      </c>
    </row>
    <row r="104" spans="1:27" ht="14.25" x14ac:dyDescent="0.2">
      <c r="A104" s="40"/>
      <c r="B104" s="41"/>
      <c r="C104" s="41" t="s">
        <v>207</v>
      </c>
      <c r="D104" s="42" t="s">
        <v>206</v>
      </c>
      <c r="E104" s="10">
        <f>Source!DO69</f>
        <v>70</v>
      </c>
      <c r="F104" s="44"/>
      <c r="G104" s="43"/>
      <c r="H104" s="10"/>
      <c r="I104" s="45">
        <f>SUM(S101:S103)</f>
        <v>756.6</v>
      </c>
      <c r="J104" s="10">
        <f>Source!CA69</f>
        <v>41</v>
      </c>
      <c r="K104" s="45">
        <f>SUM(T101:T103)</f>
        <v>10998.95</v>
      </c>
    </row>
    <row r="105" spans="1:27" ht="28.5" x14ac:dyDescent="0.2">
      <c r="A105" s="40"/>
      <c r="B105" s="41"/>
      <c r="C105" s="41" t="s">
        <v>209</v>
      </c>
      <c r="D105" s="42" t="s">
        <v>210</v>
      </c>
      <c r="E105" s="10">
        <f>Source!AQ69</f>
        <v>8.1</v>
      </c>
      <c r="F105" s="44"/>
      <c r="G105" s="43" t="str">
        <f>Source!DI69</f>
        <v>)*1,3)*0,8</v>
      </c>
      <c r="H105" s="10">
        <f>Source!AV69</f>
        <v>1</v>
      </c>
      <c r="I105" s="45">
        <f>Source!U69</f>
        <v>67.391999999999996</v>
      </c>
      <c r="J105" s="10"/>
      <c r="K105" s="45"/>
    </row>
    <row r="106" spans="1:27" ht="15" x14ac:dyDescent="0.25">
      <c r="A106" s="50"/>
      <c r="B106" s="50"/>
      <c r="C106" s="50"/>
      <c r="D106" s="50"/>
      <c r="E106" s="50"/>
      <c r="F106" s="50"/>
      <c r="G106" s="50"/>
      <c r="H106" s="51">
        <f>I102+I103+I104</f>
        <v>2648.0899999999997</v>
      </c>
      <c r="I106" s="51"/>
      <c r="J106" s="51">
        <f>K102+K103+K104</f>
        <v>56067.81</v>
      </c>
      <c r="K106" s="51"/>
      <c r="O106" s="47">
        <f>I102+I103+I104</f>
        <v>2648.0899999999997</v>
      </c>
      <c r="P106" s="47">
        <f>K102+K103+K104</f>
        <v>56067.81</v>
      </c>
      <c r="X106">
        <f>IF(Source!BI69&lt;=1,I102+I103+I104-0, 0)</f>
        <v>0</v>
      </c>
      <c r="Y106">
        <f>IF(Source!BI69=2,I102+I103+I104-0, 0)</f>
        <v>0</v>
      </c>
      <c r="Z106">
        <f>IF(Source!BI69=3,I102+I103+I104-0, 0)</f>
        <v>0</v>
      </c>
      <c r="AA106">
        <f>IF(Source!BI69=4,I102+I103+I104,0)</f>
        <v>2648.0899999999997</v>
      </c>
    </row>
    <row r="107" spans="1:27" ht="42.75" x14ac:dyDescent="0.2">
      <c r="A107" s="40" t="str">
        <f>Source!E70</f>
        <v>8</v>
      </c>
      <c r="B107" s="41" t="str">
        <f>Source!F70</f>
        <v>5.1-162-2</v>
      </c>
      <c r="C107" s="41" t="s">
        <v>119</v>
      </c>
      <c r="D107" s="42" t="str">
        <f>Source!H70</f>
        <v>измерение</v>
      </c>
      <c r="E107" s="10">
        <f>Source!I70</f>
        <v>15</v>
      </c>
      <c r="F107" s="44"/>
      <c r="G107" s="43"/>
      <c r="H107" s="10"/>
      <c r="I107" s="45"/>
      <c r="J107" s="10"/>
      <c r="K107" s="45"/>
      <c r="Q107">
        <f>ROUND((Source!DN70/100)*ROUND((ROUND((Source!AF70*Source!AV70*Source!I70),2)),2), 2)</f>
        <v>18.489999999999998</v>
      </c>
      <c r="R107">
        <f>Source!X70</f>
        <v>416.03</v>
      </c>
      <c r="S107">
        <f>ROUND((Source!DO70/100)*ROUND((ROUND((Source!AF70*Source!AV70*Source!I70),2)),2), 2)</f>
        <v>17.260000000000002</v>
      </c>
      <c r="T107">
        <f>Source!Y70</f>
        <v>250.84</v>
      </c>
      <c r="U107">
        <f>ROUND((175/100)*ROUND((ROUND((Source!AE70*Source!AV70*Source!I70),2)),2), 2)</f>
        <v>0</v>
      </c>
      <c r="V107">
        <f>ROUND((157/100)*ROUND(ROUND((ROUND((Source!AE70*Source!AV70*Source!I70),2)*Source!BS70),2), 2), 2)</f>
        <v>0</v>
      </c>
    </row>
    <row r="108" spans="1:27" ht="28.5" x14ac:dyDescent="0.2">
      <c r="A108" s="40"/>
      <c r="B108" s="41"/>
      <c r="C108" s="41" t="s">
        <v>202</v>
      </c>
      <c r="D108" s="42"/>
      <c r="E108" s="10"/>
      <c r="F108" s="44">
        <f>Source!AO70</f>
        <v>1.58</v>
      </c>
      <c r="G108" s="43" t="str">
        <f>Source!DG70</f>
        <v>)*1,3)*0,8</v>
      </c>
      <c r="H108" s="10">
        <f>Source!AV70</f>
        <v>1</v>
      </c>
      <c r="I108" s="45">
        <f>ROUND((ROUND((Source!AF70*Source!AV70*Source!I70),2)),2)</f>
        <v>24.65</v>
      </c>
      <c r="J108" s="10">
        <f>IF(Source!BA70&lt;&gt; 0, Source!BA70, 1)</f>
        <v>24.82</v>
      </c>
      <c r="K108" s="45">
        <f>Source!S70</f>
        <v>611.80999999999995</v>
      </c>
      <c r="W108">
        <f>I108</f>
        <v>24.65</v>
      </c>
    </row>
    <row r="109" spans="1:27" ht="14.25" x14ac:dyDescent="0.2">
      <c r="A109" s="40"/>
      <c r="B109" s="41"/>
      <c r="C109" s="41" t="s">
        <v>205</v>
      </c>
      <c r="D109" s="42" t="s">
        <v>206</v>
      </c>
      <c r="E109" s="10">
        <f>Source!DN70</f>
        <v>75</v>
      </c>
      <c r="F109" s="44"/>
      <c r="G109" s="43"/>
      <c r="H109" s="10"/>
      <c r="I109" s="45">
        <f>SUM(Q107:Q108)</f>
        <v>18.489999999999998</v>
      </c>
      <c r="J109" s="10">
        <f>Source!BZ70</f>
        <v>68</v>
      </c>
      <c r="K109" s="45">
        <f>SUM(R107:R108)</f>
        <v>416.03</v>
      </c>
    </row>
    <row r="110" spans="1:27" ht="14.25" x14ac:dyDescent="0.2">
      <c r="A110" s="40"/>
      <c r="B110" s="41"/>
      <c r="C110" s="41" t="s">
        <v>207</v>
      </c>
      <c r="D110" s="42" t="s">
        <v>206</v>
      </c>
      <c r="E110" s="10">
        <f>Source!DO70</f>
        <v>70</v>
      </c>
      <c r="F110" s="44"/>
      <c r="G110" s="43"/>
      <c r="H110" s="10"/>
      <c r="I110" s="45">
        <f>SUM(S107:S109)</f>
        <v>17.260000000000002</v>
      </c>
      <c r="J110" s="10">
        <f>Source!CA70</f>
        <v>41</v>
      </c>
      <c r="K110" s="45">
        <f>SUM(T107:T109)</f>
        <v>250.84</v>
      </c>
    </row>
    <row r="111" spans="1:27" ht="28.5" x14ac:dyDescent="0.2">
      <c r="A111" s="40"/>
      <c r="B111" s="41"/>
      <c r="C111" s="41" t="s">
        <v>209</v>
      </c>
      <c r="D111" s="42" t="s">
        <v>210</v>
      </c>
      <c r="E111" s="10">
        <f>Source!AQ70</f>
        <v>0.1</v>
      </c>
      <c r="F111" s="44"/>
      <c r="G111" s="43" t="str">
        <f>Source!DI70</f>
        <v>)*1,3)*0,8</v>
      </c>
      <c r="H111" s="10">
        <f>Source!AV70</f>
        <v>1</v>
      </c>
      <c r="I111" s="45">
        <f>Source!U70</f>
        <v>1.56</v>
      </c>
      <c r="J111" s="10"/>
      <c r="K111" s="45"/>
    </row>
    <row r="112" spans="1:27" ht="15" x14ac:dyDescent="0.25">
      <c r="A112" s="50"/>
      <c r="B112" s="50"/>
      <c r="C112" s="50"/>
      <c r="D112" s="50"/>
      <c r="E112" s="50"/>
      <c r="F112" s="50"/>
      <c r="G112" s="50"/>
      <c r="H112" s="51">
        <f>I108+I109+I110</f>
        <v>60.400000000000006</v>
      </c>
      <c r="I112" s="51"/>
      <c r="J112" s="51">
        <f>K108+K109+K110</f>
        <v>1278.6799999999998</v>
      </c>
      <c r="K112" s="51"/>
      <c r="O112" s="47">
        <f>I108+I109+I110</f>
        <v>60.400000000000006</v>
      </c>
      <c r="P112" s="47">
        <f>K108+K109+K110</f>
        <v>1278.6799999999998</v>
      </c>
      <c r="X112">
        <f>IF(Source!BI70&lt;=1,I108+I109+I110-0, 0)</f>
        <v>0</v>
      </c>
      <c r="Y112">
        <f>IF(Source!BI70=2,I108+I109+I110-0, 0)</f>
        <v>0</v>
      </c>
      <c r="Z112">
        <f>IF(Source!BI70=3,I108+I109+I110-0, 0)</f>
        <v>0</v>
      </c>
      <c r="AA112">
        <f>IF(Source!BI70=4,I108+I109+I110,0)</f>
        <v>60.400000000000006</v>
      </c>
    </row>
    <row r="113" spans="1:27" ht="28.5" x14ac:dyDescent="0.2">
      <c r="A113" s="40" t="str">
        <f>Source!E71</f>
        <v>9</v>
      </c>
      <c r="B113" s="41" t="str">
        <f>Source!F71</f>
        <v>5.1-169-1</v>
      </c>
      <c r="C113" s="41" t="s">
        <v>124</v>
      </c>
      <c r="D113" s="42" t="str">
        <f>Source!H71</f>
        <v>испытание</v>
      </c>
      <c r="E113" s="10">
        <f>Source!I71</f>
        <v>15</v>
      </c>
      <c r="F113" s="44"/>
      <c r="G113" s="43"/>
      <c r="H113" s="10"/>
      <c r="I113" s="45"/>
      <c r="J113" s="10"/>
      <c r="K113" s="45"/>
      <c r="Q113">
        <f>ROUND((Source!DN71/100)*ROUND((ROUND((Source!AF71*Source!AV71*Source!I71),2)),2), 2)</f>
        <v>502.87</v>
      </c>
      <c r="R113">
        <f>Source!X71</f>
        <v>11316.26</v>
      </c>
      <c r="S113">
        <f>ROUND((Source!DO71/100)*ROUND((ROUND((Source!AF71*Source!AV71*Source!I71),2)),2), 2)</f>
        <v>469.34</v>
      </c>
      <c r="T113">
        <f>Source!Y71</f>
        <v>6823.04</v>
      </c>
      <c r="U113">
        <f>ROUND((175/100)*ROUND((ROUND((Source!AE71*Source!AV71*Source!I71),2)),2), 2)</f>
        <v>0</v>
      </c>
      <c r="V113">
        <f>ROUND((157/100)*ROUND(ROUND((ROUND((Source!AE71*Source!AV71*Source!I71),2)*Source!BS71),2), 2), 2)</f>
        <v>0</v>
      </c>
    </row>
    <row r="114" spans="1:27" ht="28.5" x14ac:dyDescent="0.2">
      <c r="A114" s="40"/>
      <c r="B114" s="41"/>
      <c r="C114" s="41" t="s">
        <v>202</v>
      </c>
      <c r="D114" s="42"/>
      <c r="E114" s="10"/>
      <c r="F114" s="44">
        <f>Source!AO71</f>
        <v>42.98</v>
      </c>
      <c r="G114" s="43" t="str">
        <f>Source!DG71</f>
        <v>)*1,3)*0,8</v>
      </c>
      <c r="H114" s="10">
        <f>Source!AV71</f>
        <v>1</v>
      </c>
      <c r="I114" s="45">
        <f>ROUND((ROUND((Source!AF71*Source!AV71*Source!I71),2)),2)</f>
        <v>670.49</v>
      </c>
      <c r="J114" s="10">
        <f>IF(Source!BA71&lt;&gt; 0, Source!BA71, 1)</f>
        <v>24.82</v>
      </c>
      <c r="K114" s="45">
        <f>Source!S71</f>
        <v>16641.560000000001</v>
      </c>
      <c r="W114">
        <f>I114</f>
        <v>670.49</v>
      </c>
    </row>
    <row r="115" spans="1:27" ht="14.25" x14ac:dyDescent="0.2">
      <c r="A115" s="40"/>
      <c r="B115" s="41"/>
      <c r="C115" s="41" t="s">
        <v>205</v>
      </c>
      <c r="D115" s="42" t="s">
        <v>206</v>
      </c>
      <c r="E115" s="10">
        <f>Source!DN71</f>
        <v>75</v>
      </c>
      <c r="F115" s="44"/>
      <c r="G115" s="43"/>
      <c r="H115" s="10"/>
      <c r="I115" s="45">
        <f>SUM(Q113:Q114)</f>
        <v>502.87</v>
      </c>
      <c r="J115" s="10">
        <f>Source!BZ71</f>
        <v>68</v>
      </c>
      <c r="K115" s="45">
        <f>SUM(R113:R114)</f>
        <v>11316.26</v>
      </c>
    </row>
    <row r="116" spans="1:27" ht="14.25" x14ac:dyDescent="0.2">
      <c r="A116" s="40"/>
      <c r="B116" s="41"/>
      <c r="C116" s="41" t="s">
        <v>207</v>
      </c>
      <c r="D116" s="42" t="s">
        <v>206</v>
      </c>
      <c r="E116" s="10">
        <f>Source!DO71</f>
        <v>70</v>
      </c>
      <c r="F116" s="44"/>
      <c r="G116" s="43"/>
      <c r="H116" s="10"/>
      <c r="I116" s="45">
        <f>SUM(S113:S115)</f>
        <v>469.34</v>
      </c>
      <c r="J116" s="10">
        <f>Source!CA71</f>
        <v>41</v>
      </c>
      <c r="K116" s="45">
        <f>SUM(T113:T115)</f>
        <v>6823.04</v>
      </c>
    </row>
    <row r="117" spans="1:27" ht="28.5" x14ac:dyDescent="0.2">
      <c r="A117" s="40"/>
      <c r="B117" s="41"/>
      <c r="C117" s="41" t="s">
        <v>209</v>
      </c>
      <c r="D117" s="42" t="s">
        <v>210</v>
      </c>
      <c r="E117" s="10">
        <f>Source!AQ71</f>
        <v>2.7</v>
      </c>
      <c r="F117" s="44"/>
      <c r="G117" s="43" t="str">
        <f>Source!DI71</f>
        <v>)*1,3)*0,8</v>
      </c>
      <c r="H117" s="10">
        <f>Source!AV71</f>
        <v>1</v>
      </c>
      <c r="I117" s="45">
        <f>Source!U71</f>
        <v>42.120000000000005</v>
      </c>
      <c r="J117" s="10"/>
      <c r="K117" s="45"/>
    </row>
    <row r="118" spans="1:27" ht="15" x14ac:dyDescent="0.25">
      <c r="A118" s="50"/>
      <c r="B118" s="50"/>
      <c r="C118" s="50"/>
      <c r="D118" s="50"/>
      <c r="E118" s="50"/>
      <c r="F118" s="50"/>
      <c r="G118" s="50"/>
      <c r="H118" s="51">
        <f>I114+I115+I116</f>
        <v>1642.7</v>
      </c>
      <c r="I118" s="51"/>
      <c r="J118" s="51">
        <f>K114+K115+K116</f>
        <v>34780.86</v>
      </c>
      <c r="K118" s="51"/>
      <c r="O118" s="47">
        <f>I114+I115+I116</f>
        <v>1642.7</v>
      </c>
      <c r="P118" s="47">
        <f>K114+K115+K116</f>
        <v>34780.86</v>
      </c>
      <c r="X118">
        <f>IF(Source!BI71&lt;=1,I114+I115+I116-0, 0)</f>
        <v>0</v>
      </c>
      <c r="Y118">
        <f>IF(Source!BI71=2,I114+I115+I116-0, 0)</f>
        <v>0</v>
      </c>
      <c r="Z118">
        <f>IF(Source!BI71=3,I114+I115+I116-0, 0)</f>
        <v>0</v>
      </c>
      <c r="AA118">
        <f>IF(Source!BI71=4,I114+I115+I116,0)</f>
        <v>1642.7</v>
      </c>
    </row>
    <row r="119" spans="1:27" ht="42.75" x14ac:dyDescent="0.2">
      <c r="A119" s="40" t="str">
        <f>Source!E72</f>
        <v>10</v>
      </c>
      <c r="B119" s="41" t="str">
        <f>Source!F72</f>
        <v>5.1-152-1</v>
      </c>
      <c r="C119" s="41" t="s">
        <v>129</v>
      </c>
      <c r="D119" s="42" t="str">
        <f>Source!H72</f>
        <v>точка</v>
      </c>
      <c r="E119" s="10">
        <f>Source!I72</f>
        <v>55</v>
      </c>
      <c r="F119" s="44"/>
      <c r="G119" s="43"/>
      <c r="H119" s="10"/>
      <c r="I119" s="45"/>
      <c r="J119" s="10"/>
      <c r="K119" s="45"/>
      <c r="Q119">
        <f>ROUND((Source!DN72/100)*ROUND((ROUND((Source!AF72*Source!AV72*Source!I72),2)),2), 2)</f>
        <v>101.67</v>
      </c>
      <c r="R119">
        <f>Source!X72</f>
        <v>2287.9299999999998</v>
      </c>
      <c r="S119">
        <f>ROUND((Source!DO72/100)*ROUND((ROUND((Source!AF72*Source!AV72*Source!I72),2)),2), 2)</f>
        <v>94.89</v>
      </c>
      <c r="T119">
        <f>Source!Y72</f>
        <v>1379.49</v>
      </c>
      <c r="U119">
        <f>ROUND((175/100)*ROUND((ROUND((Source!AE72*Source!AV72*Source!I72),2)),2), 2)</f>
        <v>0</v>
      </c>
      <c r="V119">
        <f>ROUND((157/100)*ROUND(ROUND((ROUND((Source!AE72*Source!AV72*Source!I72),2)*Source!BS72),2), 2), 2)</f>
        <v>0</v>
      </c>
    </row>
    <row r="120" spans="1:27" ht="28.5" x14ac:dyDescent="0.2">
      <c r="A120" s="40"/>
      <c r="B120" s="41"/>
      <c r="C120" s="41" t="s">
        <v>202</v>
      </c>
      <c r="D120" s="42"/>
      <c r="E120" s="10"/>
      <c r="F120" s="44">
        <f>Source!AO72</f>
        <v>2.37</v>
      </c>
      <c r="G120" s="43" t="str">
        <f>Source!DG72</f>
        <v>)*1,3)*0,8</v>
      </c>
      <c r="H120" s="10">
        <f>Source!AV72</f>
        <v>1</v>
      </c>
      <c r="I120" s="45">
        <f>ROUND((ROUND((Source!AF72*Source!AV72*Source!I72),2)),2)</f>
        <v>135.56</v>
      </c>
      <c r="J120" s="10">
        <f>IF(Source!BA72&lt;&gt; 0, Source!BA72, 1)</f>
        <v>24.82</v>
      </c>
      <c r="K120" s="45">
        <f>Source!S72</f>
        <v>3364.6</v>
      </c>
      <c r="W120">
        <f>I120</f>
        <v>135.56</v>
      </c>
    </row>
    <row r="121" spans="1:27" ht="14.25" x14ac:dyDescent="0.2">
      <c r="A121" s="40"/>
      <c r="B121" s="41"/>
      <c r="C121" s="41" t="s">
        <v>205</v>
      </c>
      <c r="D121" s="42" t="s">
        <v>206</v>
      </c>
      <c r="E121" s="10">
        <f>Source!DN72</f>
        <v>75</v>
      </c>
      <c r="F121" s="44"/>
      <c r="G121" s="43"/>
      <c r="H121" s="10"/>
      <c r="I121" s="45">
        <f>SUM(Q119:Q120)</f>
        <v>101.67</v>
      </c>
      <c r="J121" s="10">
        <f>Source!BZ72</f>
        <v>68</v>
      </c>
      <c r="K121" s="45">
        <f>SUM(R119:R120)</f>
        <v>2287.9299999999998</v>
      </c>
    </row>
    <row r="122" spans="1:27" ht="14.25" x14ac:dyDescent="0.2">
      <c r="A122" s="40"/>
      <c r="B122" s="41"/>
      <c r="C122" s="41" t="s">
        <v>207</v>
      </c>
      <c r="D122" s="42" t="s">
        <v>206</v>
      </c>
      <c r="E122" s="10">
        <f>Source!DO72</f>
        <v>70</v>
      </c>
      <c r="F122" s="44"/>
      <c r="G122" s="43"/>
      <c r="H122" s="10"/>
      <c r="I122" s="45">
        <f>SUM(S119:S121)</f>
        <v>94.89</v>
      </c>
      <c r="J122" s="10">
        <f>Source!CA72</f>
        <v>41</v>
      </c>
      <c r="K122" s="45">
        <f>SUM(T119:T121)</f>
        <v>1379.49</v>
      </c>
    </row>
    <row r="123" spans="1:27" ht="28.5" x14ac:dyDescent="0.2">
      <c r="A123" s="40"/>
      <c r="B123" s="41"/>
      <c r="C123" s="41" t="s">
        <v>209</v>
      </c>
      <c r="D123" s="42" t="s">
        <v>210</v>
      </c>
      <c r="E123" s="10">
        <f>Source!AQ72</f>
        <v>0.15</v>
      </c>
      <c r="F123" s="44"/>
      <c r="G123" s="43" t="str">
        <f>Source!DI72</f>
        <v>)*1,3)*0,8</v>
      </c>
      <c r="H123" s="10">
        <f>Source!AV72</f>
        <v>1</v>
      </c>
      <c r="I123" s="45">
        <f>Source!U72</f>
        <v>8.5800000000000018</v>
      </c>
      <c r="J123" s="10"/>
      <c r="K123" s="45"/>
    </row>
    <row r="124" spans="1:27" ht="15" x14ac:dyDescent="0.25">
      <c r="A124" s="50"/>
      <c r="B124" s="50"/>
      <c r="C124" s="50"/>
      <c r="D124" s="50"/>
      <c r="E124" s="50"/>
      <c r="F124" s="50"/>
      <c r="G124" s="50"/>
      <c r="H124" s="51">
        <f>I120+I121+I122</f>
        <v>332.12</v>
      </c>
      <c r="I124" s="51"/>
      <c r="J124" s="51">
        <f>K120+K121+K122</f>
        <v>7032.0199999999995</v>
      </c>
      <c r="K124" s="51"/>
      <c r="O124" s="47">
        <f>I120+I121+I122</f>
        <v>332.12</v>
      </c>
      <c r="P124" s="47">
        <f>K120+K121+K122</f>
        <v>7032.0199999999995</v>
      </c>
      <c r="X124">
        <f>IF(Source!BI72&lt;=1,I120+I121+I122-0, 0)</f>
        <v>0</v>
      </c>
      <c r="Y124">
        <f>IF(Source!BI72=2,I120+I121+I122-0, 0)</f>
        <v>0</v>
      </c>
      <c r="Z124">
        <f>IF(Source!BI72=3,I120+I121+I122-0, 0)</f>
        <v>0</v>
      </c>
      <c r="AA124">
        <f>IF(Source!BI72=4,I120+I121+I122,0)</f>
        <v>332.12</v>
      </c>
    </row>
    <row r="125" spans="1:27" ht="57" x14ac:dyDescent="0.2">
      <c r="A125" s="40" t="str">
        <f>Source!E73</f>
        <v>11</v>
      </c>
      <c r="B125" s="41" t="str">
        <f>Source!F73</f>
        <v>5.1-158-2</v>
      </c>
      <c r="C125" s="41" t="s">
        <v>134</v>
      </c>
      <c r="D125" s="42" t="str">
        <f>Source!H73</f>
        <v>фазировка</v>
      </c>
      <c r="E125" s="10">
        <f>Source!I73</f>
        <v>3</v>
      </c>
      <c r="F125" s="44"/>
      <c r="G125" s="43"/>
      <c r="H125" s="10"/>
      <c r="I125" s="45"/>
      <c r="J125" s="10"/>
      <c r="K125" s="45"/>
      <c r="Q125">
        <f>ROUND((Source!DN73/100)*ROUND((ROUND((Source!AF73*Source!AV73*Source!I73),2)),2), 2)</f>
        <v>66.67</v>
      </c>
      <c r="R125">
        <f>Source!X73</f>
        <v>1500.25</v>
      </c>
      <c r="S125">
        <f>ROUND((Source!DO73/100)*ROUND((ROUND((Source!AF73*Source!AV73*Source!I73),2)),2), 2)</f>
        <v>62.22</v>
      </c>
      <c r="T125">
        <f>Source!Y73</f>
        <v>904.56</v>
      </c>
      <c r="U125">
        <f>ROUND((175/100)*ROUND((ROUND((Source!AE73*Source!AV73*Source!I73),2)),2), 2)</f>
        <v>0</v>
      </c>
      <c r="V125">
        <f>ROUND((157/100)*ROUND(ROUND((ROUND((Source!AE73*Source!AV73*Source!I73),2)*Source!BS73),2), 2), 2)</f>
        <v>0</v>
      </c>
    </row>
    <row r="126" spans="1:27" ht="28.5" x14ac:dyDescent="0.2">
      <c r="A126" s="40"/>
      <c r="B126" s="41"/>
      <c r="C126" s="41" t="s">
        <v>202</v>
      </c>
      <c r="D126" s="42"/>
      <c r="E126" s="10"/>
      <c r="F126" s="44">
        <f>Source!AO73</f>
        <v>28.49</v>
      </c>
      <c r="G126" s="43" t="str">
        <f>Source!DG73</f>
        <v>)*1,3)*0,8</v>
      </c>
      <c r="H126" s="10">
        <f>Source!AV73</f>
        <v>1</v>
      </c>
      <c r="I126" s="45">
        <f>ROUND((ROUND((Source!AF73*Source!AV73*Source!I73),2)),2)</f>
        <v>88.89</v>
      </c>
      <c r="J126" s="10">
        <f>IF(Source!BA73&lt;&gt; 0, Source!BA73, 1)</f>
        <v>24.82</v>
      </c>
      <c r="K126" s="45">
        <f>Source!S73</f>
        <v>2206.25</v>
      </c>
      <c r="W126">
        <f>I126</f>
        <v>88.89</v>
      </c>
    </row>
    <row r="127" spans="1:27" ht="14.25" x14ac:dyDescent="0.2">
      <c r="A127" s="40"/>
      <c r="B127" s="41"/>
      <c r="C127" s="41" t="s">
        <v>205</v>
      </c>
      <c r="D127" s="42" t="s">
        <v>206</v>
      </c>
      <c r="E127" s="10">
        <f>Source!DN73</f>
        <v>75</v>
      </c>
      <c r="F127" s="44"/>
      <c r="G127" s="43"/>
      <c r="H127" s="10"/>
      <c r="I127" s="45">
        <f>SUM(Q125:Q126)</f>
        <v>66.67</v>
      </c>
      <c r="J127" s="10">
        <f>Source!BZ73</f>
        <v>68</v>
      </c>
      <c r="K127" s="45">
        <f>SUM(R125:R126)</f>
        <v>1500.25</v>
      </c>
    </row>
    <row r="128" spans="1:27" ht="14.25" x14ac:dyDescent="0.2">
      <c r="A128" s="40"/>
      <c r="B128" s="41"/>
      <c r="C128" s="41" t="s">
        <v>207</v>
      </c>
      <c r="D128" s="42" t="s">
        <v>206</v>
      </c>
      <c r="E128" s="10">
        <f>Source!DO73</f>
        <v>70</v>
      </c>
      <c r="F128" s="44"/>
      <c r="G128" s="43"/>
      <c r="H128" s="10"/>
      <c r="I128" s="45">
        <f>SUM(S125:S127)</f>
        <v>62.22</v>
      </c>
      <c r="J128" s="10">
        <f>Source!CA73</f>
        <v>41</v>
      </c>
      <c r="K128" s="45">
        <f>SUM(T125:T127)</f>
        <v>904.56</v>
      </c>
    </row>
    <row r="129" spans="1:27" ht="28.5" x14ac:dyDescent="0.2">
      <c r="A129" s="40"/>
      <c r="B129" s="41"/>
      <c r="C129" s="41" t="s">
        <v>209</v>
      </c>
      <c r="D129" s="42" t="s">
        <v>210</v>
      </c>
      <c r="E129" s="10">
        <f>Source!AQ73</f>
        <v>1.8</v>
      </c>
      <c r="F129" s="44"/>
      <c r="G129" s="43" t="str">
        <f>Source!DI73</f>
        <v>)*1,3)*0,8</v>
      </c>
      <c r="H129" s="10">
        <f>Source!AV73</f>
        <v>1</v>
      </c>
      <c r="I129" s="45">
        <f>Source!U73</f>
        <v>5.6160000000000014</v>
      </c>
      <c r="J129" s="10"/>
      <c r="K129" s="45"/>
    </row>
    <row r="130" spans="1:27" ht="15" x14ac:dyDescent="0.25">
      <c r="A130" s="50"/>
      <c r="B130" s="50"/>
      <c r="C130" s="50"/>
      <c r="D130" s="50"/>
      <c r="E130" s="50"/>
      <c r="F130" s="50"/>
      <c r="G130" s="50"/>
      <c r="H130" s="51">
        <f>I126+I127+I128</f>
        <v>217.78</v>
      </c>
      <c r="I130" s="51"/>
      <c r="J130" s="51">
        <f>K126+K127+K128</f>
        <v>4611.0599999999995</v>
      </c>
      <c r="K130" s="51"/>
      <c r="O130" s="47">
        <f>I126+I127+I128</f>
        <v>217.78</v>
      </c>
      <c r="P130" s="47">
        <f>K126+K127+K128</f>
        <v>4611.0599999999995</v>
      </c>
      <c r="X130">
        <f>IF(Source!BI73&lt;=1,I126+I127+I128-0, 0)</f>
        <v>0</v>
      </c>
      <c r="Y130">
        <f>IF(Source!BI73=2,I126+I127+I128-0, 0)</f>
        <v>0</v>
      </c>
      <c r="Z130">
        <f>IF(Source!BI73=3,I126+I127+I128-0, 0)</f>
        <v>0</v>
      </c>
      <c r="AA130">
        <f>IF(Source!BI73=4,I126+I127+I128,0)</f>
        <v>217.78</v>
      </c>
    </row>
    <row r="131" spans="1:27" ht="28.5" x14ac:dyDescent="0.2">
      <c r="A131" s="40" t="str">
        <f>Source!E74</f>
        <v>12</v>
      </c>
      <c r="B131" s="41" t="str">
        <f>Source!F74</f>
        <v>5.1-168-1</v>
      </c>
      <c r="C131" s="41" t="s">
        <v>140</v>
      </c>
      <c r="D131" s="42" t="str">
        <f>Source!H74</f>
        <v>испытание</v>
      </c>
      <c r="E131" s="10">
        <f>Source!I74</f>
        <v>8</v>
      </c>
      <c r="F131" s="44"/>
      <c r="G131" s="43"/>
      <c r="H131" s="10"/>
      <c r="I131" s="45"/>
      <c r="J131" s="10"/>
      <c r="K131" s="45"/>
      <c r="Q131">
        <f>ROUND((Source!DN74/100)*ROUND((ROUND((Source!AF74*Source!AV74*Source!I74),2)),2), 2)</f>
        <v>759.22</v>
      </c>
      <c r="R131">
        <f>Source!X74</f>
        <v>17085.03</v>
      </c>
      <c r="S131">
        <f>ROUND((Source!DO74/100)*ROUND((ROUND((Source!AF74*Source!AV74*Source!I74),2)),2), 2)</f>
        <v>708.6</v>
      </c>
      <c r="T131">
        <f>Source!Y74</f>
        <v>10301.27</v>
      </c>
      <c r="U131">
        <f>ROUND((175/100)*ROUND((ROUND((Source!AE74*Source!AV74*Source!I74),2)),2), 2)</f>
        <v>0</v>
      </c>
      <c r="V131">
        <f>ROUND((157/100)*ROUND(ROUND((ROUND((Source!AE74*Source!AV74*Source!I74),2)*Source!BS74),2), 2), 2)</f>
        <v>0</v>
      </c>
    </row>
    <row r="132" spans="1:27" ht="28.5" x14ac:dyDescent="0.2">
      <c r="A132" s="40"/>
      <c r="B132" s="41"/>
      <c r="C132" s="41" t="s">
        <v>202</v>
      </c>
      <c r="D132" s="42"/>
      <c r="E132" s="10"/>
      <c r="F132" s="44">
        <f>Source!AO74</f>
        <v>121.67</v>
      </c>
      <c r="G132" s="43" t="str">
        <f>Source!DG74</f>
        <v>)*1,3)*0,8</v>
      </c>
      <c r="H132" s="10">
        <f>Source!AV74</f>
        <v>1</v>
      </c>
      <c r="I132" s="45">
        <f>ROUND((ROUND((Source!AF74*Source!AV74*Source!I74),2)),2)</f>
        <v>1012.29</v>
      </c>
      <c r="J132" s="10">
        <f>IF(Source!BA74&lt;&gt; 0, Source!BA74, 1)</f>
        <v>24.82</v>
      </c>
      <c r="K132" s="45">
        <f>Source!S74</f>
        <v>25125.040000000001</v>
      </c>
      <c r="W132">
        <f>I132</f>
        <v>1012.29</v>
      </c>
    </row>
    <row r="133" spans="1:27" ht="14.25" x14ac:dyDescent="0.2">
      <c r="A133" s="40"/>
      <c r="B133" s="41"/>
      <c r="C133" s="41" t="s">
        <v>205</v>
      </c>
      <c r="D133" s="42" t="s">
        <v>206</v>
      </c>
      <c r="E133" s="10">
        <f>Source!DN74</f>
        <v>75</v>
      </c>
      <c r="F133" s="44"/>
      <c r="G133" s="43"/>
      <c r="H133" s="10"/>
      <c r="I133" s="45">
        <f>SUM(Q131:Q132)</f>
        <v>759.22</v>
      </c>
      <c r="J133" s="10">
        <f>Source!BZ74</f>
        <v>68</v>
      </c>
      <c r="K133" s="45">
        <f>SUM(R131:R132)</f>
        <v>17085.03</v>
      </c>
    </row>
    <row r="134" spans="1:27" ht="14.25" x14ac:dyDescent="0.2">
      <c r="A134" s="40"/>
      <c r="B134" s="41"/>
      <c r="C134" s="41" t="s">
        <v>207</v>
      </c>
      <c r="D134" s="42" t="s">
        <v>206</v>
      </c>
      <c r="E134" s="10">
        <f>Source!DO74</f>
        <v>70</v>
      </c>
      <c r="F134" s="44"/>
      <c r="G134" s="43"/>
      <c r="H134" s="10"/>
      <c r="I134" s="45">
        <f>SUM(S131:S133)</f>
        <v>708.6</v>
      </c>
      <c r="J134" s="10">
        <f>Source!CA74</f>
        <v>41</v>
      </c>
      <c r="K134" s="45">
        <f>SUM(T131:T133)</f>
        <v>10301.27</v>
      </c>
    </row>
    <row r="135" spans="1:27" ht="28.5" x14ac:dyDescent="0.2">
      <c r="A135" s="40"/>
      <c r="B135" s="41"/>
      <c r="C135" s="41" t="s">
        <v>209</v>
      </c>
      <c r="D135" s="42" t="s">
        <v>210</v>
      </c>
      <c r="E135" s="10">
        <f>Source!AQ74</f>
        <v>8.1</v>
      </c>
      <c r="F135" s="44"/>
      <c r="G135" s="43" t="str">
        <f>Source!DI74</f>
        <v>)*1,3)*0,8</v>
      </c>
      <c r="H135" s="10">
        <f>Source!AV74</f>
        <v>1</v>
      </c>
      <c r="I135" s="45">
        <f>Source!U74</f>
        <v>67.391999999999996</v>
      </c>
      <c r="J135" s="10"/>
      <c r="K135" s="45"/>
    </row>
    <row r="136" spans="1:27" ht="15" x14ac:dyDescent="0.25">
      <c r="A136" s="50"/>
      <c r="B136" s="50"/>
      <c r="C136" s="50"/>
      <c r="D136" s="50"/>
      <c r="E136" s="50"/>
      <c r="F136" s="50"/>
      <c r="G136" s="50"/>
      <c r="H136" s="51">
        <f>I132+I133+I134</f>
        <v>2480.11</v>
      </c>
      <c r="I136" s="51"/>
      <c r="J136" s="51">
        <f>K132+K133+K134</f>
        <v>52511.34</v>
      </c>
      <c r="K136" s="51"/>
      <c r="O136" s="47">
        <f>I132+I133+I134</f>
        <v>2480.11</v>
      </c>
      <c r="P136" s="47">
        <f>K132+K133+K134</f>
        <v>52511.34</v>
      </c>
      <c r="X136">
        <f>IF(Source!BI74&lt;=1,I132+I133+I134-0, 0)</f>
        <v>0</v>
      </c>
      <c r="Y136">
        <f>IF(Source!BI74=2,I132+I133+I134-0, 0)</f>
        <v>0</v>
      </c>
      <c r="Z136">
        <f>IF(Source!BI74=3,I132+I133+I134-0, 0)</f>
        <v>0</v>
      </c>
      <c r="AA136">
        <f>IF(Source!BI74=4,I132+I133+I134,0)</f>
        <v>2480.11</v>
      </c>
    </row>
    <row r="137" spans="1:27" ht="57" x14ac:dyDescent="0.2">
      <c r="A137" s="40" t="str">
        <f>Source!E75</f>
        <v>13</v>
      </c>
      <c r="B137" s="41" t="str">
        <f>Source!F75</f>
        <v>5.1-161-1</v>
      </c>
      <c r="C137" s="41" t="s">
        <v>144</v>
      </c>
      <c r="D137" s="42" t="str">
        <f>Source!H75</f>
        <v>измерение</v>
      </c>
      <c r="E137" s="10">
        <f>Source!I75</f>
        <v>9</v>
      </c>
      <c r="F137" s="44"/>
      <c r="G137" s="43"/>
      <c r="H137" s="10"/>
      <c r="I137" s="45"/>
      <c r="J137" s="10"/>
      <c r="K137" s="45"/>
      <c r="Q137">
        <f>ROUND((Source!DN75/100)*ROUND((ROUND((Source!AF75*Source!AV75*Source!I75),2)),2), 2)</f>
        <v>200</v>
      </c>
      <c r="R137">
        <f>Source!X75</f>
        <v>4500.75</v>
      </c>
      <c r="S137">
        <f>ROUND((Source!DO75/100)*ROUND((ROUND((Source!AF75*Source!AV75*Source!I75),2)),2), 2)</f>
        <v>186.67</v>
      </c>
      <c r="T137">
        <f>Source!Y75</f>
        <v>2713.69</v>
      </c>
      <c r="U137">
        <f>ROUND((175/100)*ROUND((ROUND((Source!AE75*Source!AV75*Source!I75),2)),2), 2)</f>
        <v>0</v>
      </c>
      <c r="V137">
        <f>ROUND((157/100)*ROUND(ROUND((ROUND((Source!AE75*Source!AV75*Source!I75),2)*Source!BS75),2), 2), 2)</f>
        <v>0</v>
      </c>
    </row>
    <row r="138" spans="1:27" ht="28.5" x14ac:dyDescent="0.2">
      <c r="A138" s="40"/>
      <c r="B138" s="41"/>
      <c r="C138" s="41" t="s">
        <v>202</v>
      </c>
      <c r="D138" s="42"/>
      <c r="E138" s="10"/>
      <c r="F138" s="44">
        <f>Source!AO75</f>
        <v>28.49</v>
      </c>
      <c r="G138" s="43" t="str">
        <f>Source!DG75</f>
        <v>)*1,3)*0,8</v>
      </c>
      <c r="H138" s="10">
        <f>Source!AV75</f>
        <v>1</v>
      </c>
      <c r="I138" s="45">
        <f>ROUND((ROUND((Source!AF75*Source!AV75*Source!I75),2)),2)</f>
        <v>266.67</v>
      </c>
      <c r="J138" s="10">
        <f>IF(Source!BA75&lt;&gt; 0, Source!BA75, 1)</f>
        <v>24.82</v>
      </c>
      <c r="K138" s="45">
        <f>Source!S75</f>
        <v>6618.75</v>
      </c>
      <c r="W138">
        <f>I138</f>
        <v>266.67</v>
      </c>
    </row>
    <row r="139" spans="1:27" ht="14.25" x14ac:dyDescent="0.2">
      <c r="A139" s="40"/>
      <c r="B139" s="41"/>
      <c r="C139" s="41" t="s">
        <v>205</v>
      </c>
      <c r="D139" s="42" t="s">
        <v>206</v>
      </c>
      <c r="E139" s="10">
        <f>Source!DN75</f>
        <v>75</v>
      </c>
      <c r="F139" s="44"/>
      <c r="G139" s="43"/>
      <c r="H139" s="10"/>
      <c r="I139" s="45">
        <f>SUM(Q137:Q138)</f>
        <v>200</v>
      </c>
      <c r="J139" s="10">
        <f>Source!BZ75</f>
        <v>68</v>
      </c>
      <c r="K139" s="45">
        <f>SUM(R137:R138)</f>
        <v>4500.75</v>
      </c>
    </row>
    <row r="140" spans="1:27" ht="14.25" x14ac:dyDescent="0.2">
      <c r="A140" s="40"/>
      <c r="B140" s="41"/>
      <c r="C140" s="41" t="s">
        <v>207</v>
      </c>
      <c r="D140" s="42" t="s">
        <v>206</v>
      </c>
      <c r="E140" s="10">
        <f>Source!DO75</f>
        <v>70</v>
      </c>
      <c r="F140" s="44"/>
      <c r="G140" s="43"/>
      <c r="H140" s="10"/>
      <c r="I140" s="45">
        <f>SUM(S137:S139)</f>
        <v>186.67</v>
      </c>
      <c r="J140" s="10">
        <f>Source!CA75</f>
        <v>41</v>
      </c>
      <c r="K140" s="45">
        <f>SUM(T137:T139)</f>
        <v>2713.69</v>
      </c>
    </row>
    <row r="141" spans="1:27" ht="28.5" x14ac:dyDescent="0.2">
      <c r="A141" s="40"/>
      <c r="B141" s="41"/>
      <c r="C141" s="41" t="s">
        <v>209</v>
      </c>
      <c r="D141" s="42" t="s">
        <v>210</v>
      </c>
      <c r="E141" s="10">
        <f>Source!AQ75</f>
        <v>1.8</v>
      </c>
      <c r="F141" s="44"/>
      <c r="G141" s="43" t="str">
        <f>Source!DI75</f>
        <v>)*1,3)*0,8</v>
      </c>
      <c r="H141" s="10">
        <f>Source!AV75</f>
        <v>1</v>
      </c>
      <c r="I141" s="45">
        <f>Source!U75</f>
        <v>16.848000000000003</v>
      </c>
      <c r="J141" s="10"/>
      <c r="K141" s="45"/>
    </row>
    <row r="142" spans="1:27" ht="15" x14ac:dyDescent="0.25">
      <c r="A142" s="50"/>
      <c r="B142" s="50"/>
      <c r="C142" s="50"/>
      <c r="D142" s="50"/>
      <c r="E142" s="50"/>
      <c r="F142" s="50"/>
      <c r="G142" s="50"/>
      <c r="H142" s="51">
        <f>I138+I139+I140</f>
        <v>653.34</v>
      </c>
      <c r="I142" s="51"/>
      <c r="J142" s="51">
        <f>K138+K139+K140</f>
        <v>13833.19</v>
      </c>
      <c r="K142" s="51"/>
      <c r="O142" s="47">
        <f>I138+I139+I140</f>
        <v>653.34</v>
      </c>
      <c r="P142" s="47">
        <f>K138+K139+K140</f>
        <v>13833.19</v>
      </c>
      <c r="X142">
        <f>IF(Source!BI75&lt;=1,I138+I139+I140-0, 0)</f>
        <v>0</v>
      </c>
      <c r="Y142">
        <f>IF(Source!BI75=2,I138+I139+I140-0, 0)</f>
        <v>0</v>
      </c>
      <c r="Z142">
        <f>IF(Source!BI75=3,I138+I139+I140-0, 0)</f>
        <v>0</v>
      </c>
      <c r="AA142">
        <f>IF(Source!BI75=4,I138+I139+I140,0)</f>
        <v>653.34</v>
      </c>
    </row>
    <row r="144" spans="1:27" ht="15" x14ac:dyDescent="0.25">
      <c r="A144" s="55" t="str">
        <f>CONCATENATE("Итого по разделу: ",IF(Source!G77&lt;&gt;"Новый раздел", Source!G77, ""))</f>
        <v>Итого по разделу: Пусконаладочные работы</v>
      </c>
      <c r="B144" s="55"/>
      <c r="C144" s="55"/>
      <c r="D144" s="55"/>
      <c r="E144" s="55"/>
      <c r="F144" s="55"/>
      <c r="G144" s="55"/>
      <c r="H144" s="49">
        <f>SUM(O100:O143)</f>
        <v>8034.5399999999991</v>
      </c>
      <c r="I144" s="54"/>
      <c r="J144" s="49">
        <f>SUM(P100:P143)</f>
        <v>170114.96000000002</v>
      </c>
      <c r="K144" s="54"/>
    </row>
    <row r="145" spans="1:38" hidden="1" x14ac:dyDescent="0.2">
      <c r="A145" t="s">
        <v>212</v>
      </c>
      <c r="H145">
        <f>SUM(AC100:AC144)</f>
        <v>0</v>
      </c>
      <c r="J145">
        <f>SUM(AD100:AD144)</f>
        <v>0</v>
      </c>
    </row>
    <row r="146" spans="1:38" hidden="1" x14ac:dyDescent="0.2">
      <c r="A146" t="s">
        <v>213</v>
      </c>
      <c r="H146">
        <f>SUM(AE100:AE145)</f>
        <v>0</v>
      </c>
      <c r="J146">
        <f>SUM(AF100:AF145)</f>
        <v>0</v>
      </c>
    </row>
    <row r="148" spans="1:38" ht="16.5" x14ac:dyDescent="0.25">
      <c r="A148" s="39" t="str">
        <f>CONCATENATE("Раздел: ",IF(Source!G107&lt;&gt;"Новый раздел", Source!G107, ""))</f>
        <v>Раздел: Оборудование и материалы, не учтенные ценником.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1:38" ht="57" x14ac:dyDescent="0.2">
      <c r="A149" s="40" t="str">
        <f>Source!E111</f>
        <v>14</v>
      </c>
      <c r="B149" s="41" t="str">
        <f>Source!F111</f>
        <v>Накладная №12 от 18.07.2019.</v>
      </c>
      <c r="C149" s="41" t="s">
        <v>149</v>
      </c>
      <c r="D149" s="42" t="str">
        <f>Source!H111</f>
        <v>КОМПЛЕКТ из 8 ячеек</v>
      </c>
      <c r="E149" s="10">
        <f>Source!I111</f>
        <v>1</v>
      </c>
      <c r="F149" s="44">
        <f>Source!AL111</f>
        <v>634413.36</v>
      </c>
      <c r="G149" s="43" t="str">
        <f>Source!DD111</f>
        <v/>
      </c>
      <c r="H149" s="10">
        <f>Source!AW111</f>
        <v>1</v>
      </c>
      <c r="I149" s="45">
        <f>ROUND((ROUND((Source!AC111*Source!AW111*Source!I111),2)),2)</f>
        <v>634413.36</v>
      </c>
      <c r="J149" s="10">
        <f>IF(Source!BC111&lt;&gt; 0, Source!BC111, 1)</f>
        <v>1</v>
      </c>
      <c r="K149" s="45">
        <f>Source!P111</f>
        <v>634413.36</v>
      </c>
      <c r="Q149">
        <f>ROUND((Source!DN111/100)*ROUND((ROUND((Source!AF111*Source!AV111*Source!I111),2)),2), 2)</f>
        <v>0</v>
      </c>
      <c r="R149">
        <f>Source!X111</f>
        <v>0</v>
      </c>
      <c r="S149">
        <f>ROUND((Source!DO111/100)*ROUND((ROUND((Source!AF111*Source!AV111*Source!I111),2)),2), 2)</f>
        <v>0</v>
      </c>
      <c r="T149">
        <f>Source!Y111</f>
        <v>0</v>
      </c>
      <c r="U149">
        <f>ROUND((175/100)*ROUND((ROUND((Source!AE111*Source!AV111*Source!I111),2)),2), 2)</f>
        <v>0</v>
      </c>
      <c r="V149">
        <f>ROUND((157/100)*ROUND(ROUND((ROUND((Source!AE111*Source!AV111*Source!I111),2)*Source!BS111),2), 2), 2)</f>
        <v>0</v>
      </c>
    </row>
    <row r="150" spans="1:38" ht="15" x14ac:dyDescent="0.25">
      <c r="A150" s="50"/>
      <c r="B150" s="50"/>
      <c r="C150" s="50"/>
      <c r="D150" s="50"/>
      <c r="E150" s="50"/>
      <c r="F150" s="50"/>
      <c r="G150" s="50"/>
      <c r="H150" s="51">
        <f>I149</f>
        <v>634413.36</v>
      </c>
      <c r="I150" s="51"/>
      <c r="J150" s="51">
        <f>K149</f>
        <v>634413.36</v>
      </c>
      <c r="K150" s="51"/>
      <c r="O150" s="47">
        <f>I149</f>
        <v>634413.36</v>
      </c>
      <c r="P150" s="47">
        <f>K149</f>
        <v>634413.36</v>
      </c>
      <c r="X150">
        <f>IF(Source!BI111&lt;=1,I149-0, 0)</f>
        <v>634413.36</v>
      </c>
      <c r="Y150">
        <f>IF(Source!BI111=2,I149-0, 0)</f>
        <v>0</v>
      </c>
      <c r="Z150">
        <f>IF(Source!BI111=3,I149-0, 0)</f>
        <v>0</v>
      </c>
      <c r="AA150">
        <f>IF(Source!BI111=4,I149,0)</f>
        <v>0</v>
      </c>
    </row>
    <row r="151" spans="1:38" ht="28.5" x14ac:dyDescent="0.2">
      <c r="A151" s="40" t="str">
        <f>Source!E112</f>
        <v>15</v>
      </c>
      <c r="B151" s="41" t="str">
        <f>Source!F112</f>
        <v>1.23-16-1</v>
      </c>
      <c r="C151" s="41" t="s">
        <v>156</v>
      </c>
      <c r="D151" s="42" t="str">
        <f>Source!H112</f>
        <v>т</v>
      </c>
      <c r="E151" s="10">
        <f>Source!I112</f>
        <v>4.3999999999999997E-2</v>
      </c>
      <c r="F151" s="44">
        <f>Source!AL112</f>
        <v>31290.95</v>
      </c>
      <c r="G151" s="43" t="str">
        <f>Source!DD112</f>
        <v/>
      </c>
      <c r="H151" s="10">
        <f>Source!AW112</f>
        <v>1</v>
      </c>
      <c r="I151" s="45">
        <f>ROUND((ROUND((Source!AC112*Source!AW112*Source!I112),2)),2)</f>
        <v>1376.8</v>
      </c>
      <c r="J151" s="10">
        <f>IF(Source!BC112&lt;&gt; 0, Source!BC112, 1)</f>
        <v>6.97</v>
      </c>
      <c r="K151" s="45">
        <f>Source!P112</f>
        <v>9596.2999999999993</v>
      </c>
      <c r="Q151">
        <f>ROUND((Source!DN112/100)*ROUND((ROUND((Source!AF112*Source!AV112*Source!I112),2)),2), 2)</f>
        <v>0</v>
      </c>
      <c r="R151">
        <f>Source!X112</f>
        <v>0</v>
      </c>
      <c r="S151">
        <f>ROUND((Source!DO112/100)*ROUND((ROUND((Source!AF112*Source!AV112*Source!I112),2)),2), 2)</f>
        <v>0</v>
      </c>
      <c r="T151">
        <f>Source!Y112</f>
        <v>0</v>
      </c>
      <c r="U151">
        <f>ROUND((175/100)*ROUND((ROUND((Source!AE112*Source!AV112*Source!I112),2)),2), 2)</f>
        <v>0</v>
      </c>
      <c r="V151">
        <f>ROUND((157/100)*ROUND(ROUND((ROUND((Source!AE112*Source!AV112*Source!I112),2)*Source!BS112),2), 2), 2)</f>
        <v>0</v>
      </c>
    </row>
    <row r="152" spans="1:38" ht="15" x14ac:dyDescent="0.25">
      <c r="A152" s="50"/>
      <c r="B152" s="50"/>
      <c r="C152" s="50"/>
      <c r="D152" s="50"/>
      <c r="E152" s="50"/>
      <c r="F152" s="50"/>
      <c r="G152" s="50"/>
      <c r="H152" s="51">
        <f>I151</f>
        <v>1376.8</v>
      </c>
      <c r="I152" s="51"/>
      <c r="J152" s="51">
        <f>K151</f>
        <v>9596.2999999999993</v>
      </c>
      <c r="K152" s="51"/>
      <c r="O152" s="47">
        <f>I151</f>
        <v>1376.8</v>
      </c>
      <c r="P152" s="47">
        <f>K151</f>
        <v>9596.2999999999993</v>
      </c>
      <c r="X152">
        <f>IF(Source!BI112&lt;=1,I151-0, 0)</f>
        <v>0</v>
      </c>
      <c r="Y152">
        <f>IF(Source!BI112=2,I151-0, 0)</f>
        <v>1376.8</v>
      </c>
      <c r="Z152">
        <f>IF(Source!BI112=3,I151-0, 0)</f>
        <v>0</v>
      </c>
      <c r="AA152">
        <f>IF(Source!BI112=4,I151,0)</f>
        <v>0</v>
      </c>
    </row>
    <row r="154" spans="1:38" ht="15" x14ac:dyDescent="0.25">
      <c r="A154" s="55" t="str">
        <f>CONCATENATE("Итого по разделу: ",IF(Source!G114&lt;&gt;"Новый раздел", Source!G114, ""))</f>
        <v>Итого по разделу: Оборудование и материалы, не учтенные ценником.</v>
      </c>
      <c r="B154" s="55"/>
      <c r="C154" s="55"/>
      <c r="D154" s="55"/>
      <c r="E154" s="55"/>
      <c r="F154" s="55"/>
      <c r="G154" s="55"/>
      <c r="H154" s="49">
        <f>SUM(O148:O153)</f>
        <v>635790.16</v>
      </c>
      <c r="I154" s="54"/>
      <c r="J154" s="49">
        <f>SUM(P148:P153)</f>
        <v>644009.66</v>
      </c>
      <c r="K154" s="54"/>
      <c r="AL154" s="56" t="str">
        <f>CONCATENATE("Итого по разделу: ",IF(Source!G114&lt;&gt;"Новый раздел", Source!G114, ""))</f>
        <v>Итого по разделу: Оборудование и материалы, не учтенные ценником.</v>
      </c>
    </row>
    <row r="155" spans="1:38" hidden="1" x14ac:dyDescent="0.2">
      <c r="A155" t="s">
        <v>212</v>
      </c>
      <c r="H155">
        <f>SUM(AC148:AC154)</f>
        <v>0</v>
      </c>
      <c r="J155">
        <f>SUM(AD148:AD154)</f>
        <v>0</v>
      </c>
    </row>
    <row r="156" spans="1:38" hidden="1" x14ac:dyDescent="0.2">
      <c r="A156" t="s">
        <v>213</v>
      </c>
      <c r="H156">
        <f>SUM(AE148:AE155)</f>
        <v>0</v>
      </c>
      <c r="J156">
        <f>SUM(AF148:AF155)</f>
        <v>0</v>
      </c>
    </row>
    <row r="158" spans="1:38" ht="15" x14ac:dyDescent="0.25">
      <c r="A158" s="55" t="str">
        <f>CONCATENATE("Итого по локальной смете: ",IF(Source!G144&lt;&gt;"Новая локальная смета", Source!G144, ""))</f>
        <v>Итого по локальной смете: ТП-502. Реконструкция. Замена 8 ячеек РУ-10 кВ.</v>
      </c>
      <c r="B158" s="55"/>
      <c r="C158" s="55"/>
      <c r="D158" s="55"/>
      <c r="E158" s="55"/>
      <c r="F158" s="55"/>
      <c r="G158" s="55"/>
      <c r="H158" s="49">
        <f>SUM(O33:O157)</f>
        <v>666821.04</v>
      </c>
      <c r="I158" s="54"/>
      <c r="J158" s="49">
        <f>SUM(P33:P157)</f>
        <v>1205006.1599999999</v>
      </c>
      <c r="K158" s="54"/>
      <c r="AL158" s="56" t="str">
        <f>CONCATENATE("Итого по локальной смете: ",IF(Source!G144&lt;&gt;"Новая локальная смета", Source!G144, ""))</f>
        <v>Итого по локальной смете: ТП-502. Реконструкция. Замена 8 ячеек РУ-10 кВ.</v>
      </c>
    </row>
    <row r="159" spans="1:38" hidden="1" x14ac:dyDescent="0.2">
      <c r="A159" t="s">
        <v>212</v>
      </c>
      <c r="H159">
        <f>SUM(AC33:AC158)</f>
        <v>0</v>
      </c>
      <c r="J159">
        <f>SUM(AD33:AD158)</f>
        <v>0</v>
      </c>
    </row>
    <row r="160" spans="1:38" hidden="1" x14ac:dyDescent="0.2">
      <c r="A160" t="s">
        <v>213</v>
      </c>
      <c r="H160">
        <f>SUM(AE33:AE159)</f>
        <v>0</v>
      </c>
      <c r="J160">
        <f>SUM(AF33:AF159)</f>
        <v>0</v>
      </c>
    </row>
    <row r="162" spans="1:38" ht="30" x14ac:dyDescent="0.25">
      <c r="A162" s="55" t="str">
        <f>CONCATENATE("Итого по смете: ",IF(Source!G174&lt;&gt;"Новый объект", Source!G174, ""))</f>
        <v>Итого по смете: ТП-502. Реконструкция. Замена 8 ячеек РУ-10 кВ.</v>
      </c>
      <c r="B162" s="55"/>
      <c r="C162" s="55"/>
      <c r="D162" s="55"/>
      <c r="E162" s="55"/>
      <c r="F162" s="55"/>
      <c r="G162" s="55"/>
      <c r="H162" s="49">
        <f>SUM(O1:O161)</f>
        <v>666821.04</v>
      </c>
      <c r="I162" s="54"/>
      <c r="J162" s="49">
        <f>SUM(P1:P161)</f>
        <v>1205006.1599999999</v>
      </c>
      <c r="K162" s="54"/>
      <c r="AL162" s="56" t="str">
        <f>CONCATENATE("Итого по смете: ",IF(Source!G174&lt;&gt;"Новый объект", Source!G174, ""))</f>
        <v>Итого по смете: ТП-502. Реконструкция. Замена 8 ячеек РУ-10 кВ.</v>
      </c>
    </row>
    <row r="163" spans="1:38" hidden="1" x14ac:dyDescent="0.2">
      <c r="A163" t="s">
        <v>212</v>
      </c>
      <c r="H163">
        <f>SUM(AC1:AC162)</f>
        <v>0</v>
      </c>
      <c r="J163">
        <f>SUM(AD1:AD162)</f>
        <v>0</v>
      </c>
    </row>
    <row r="164" spans="1:38" hidden="1" x14ac:dyDescent="0.2">
      <c r="A164" t="s">
        <v>213</v>
      </c>
      <c r="H164">
        <f>SUM(AE1:AE163)</f>
        <v>0</v>
      </c>
      <c r="J164">
        <f>SUM(AF1:AF163)</f>
        <v>0</v>
      </c>
    </row>
    <row r="165" spans="1:38" ht="14.25" x14ac:dyDescent="0.2">
      <c r="C165" s="28" t="str">
        <f>Source!H203</f>
        <v>Итого</v>
      </c>
      <c r="D165" s="28"/>
      <c r="E165" s="28"/>
      <c r="F165" s="28"/>
      <c r="G165" s="28"/>
      <c r="H165" s="28"/>
      <c r="I165" s="28"/>
      <c r="J165" s="48">
        <f>IF(Source!F203=0, "", Source!F203)</f>
        <v>1205006.1599999999</v>
      </c>
      <c r="K165" s="48"/>
    </row>
    <row r="166" spans="1:38" ht="14.25" x14ac:dyDescent="0.2">
      <c r="C166" s="28" t="str">
        <f>Source!H204</f>
        <v>НДС 20%</v>
      </c>
      <c r="D166" s="28"/>
      <c r="E166" s="28"/>
      <c r="F166" s="28"/>
      <c r="G166" s="28"/>
      <c r="H166" s="28"/>
      <c r="I166" s="28"/>
      <c r="J166" s="48">
        <f>IF(Source!F204=0, "", Source!F204)</f>
        <v>241001.23</v>
      </c>
      <c r="K166" s="48"/>
    </row>
    <row r="167" spans="1:38" ht="21.75" customHeight="1" x14ac:dyDescent="0.25">
      <c r="C167" s="28" t="str">
        <f>Source!H205</f>
        <v>Итого с НДС</v>
      </c>
      <c r="D167" s="28"/>
      <c r="E167" s="28"/>
      <c r="F167" s="28"/>
      <c r="G167" s="28"/>
      <c r="H167" s="28"/>
      <c r="I167" s="28"/>
      <c r="J167" s="49">
        <f>IF(Source!F205=0, "", Source!F205)</f>
        <v>1446007.39</v>
      </c>
      <c r="K167" s="49"/>
    </row>
    <row r="170" spans="1:38" ht="14.25" x14ac:dyDescent="0.2">
      <c r="A170" s="57" t="s">
        <v>215</v>
      </c>
      <c r="B170" s="57"/>
      <c r="C170" s="58" t="str">
        <f>IF(Source!AC12&lt;&gt;"", Source!AC12," ")</f>
        <v>Зам.начальника ПТО</v>
      </c>
      <c r="D170" s="58"/>
      <c r="E170" s="58"/>
      <c r="F170" s="58"/>
      <c r="G170" s="58"/>
      <c r="H170" s="14" t="str">
        <f>IF(Source!AB12&lt;&gt;"", Source!AB12," ")</f>
        <v>Алиева И.Е.</v>
      </c>
      <c r="I170" s="14"/>
      <c r="J170" s="14"/>
      <c r="K170" s="14"/>
    </row>
    <row r="171" spans="1:38" ht="14.25" x14ac:dyDescent="0.2">
      <c r="A171" s="11"/>
      <c r="B171" s="11"/>
      <c r="C171" s="22" t="s">
        <v>216</v>
      </c>
      <c r="D171" s="22"/>
      <c r="E171" s="22"/>
      <c r="F171" s="22"/>
      <c r="G171" s="22"/>
      <c r="H171" s="11"/>
      <c r="I171" s="11"/>
      <c r="J171" s="11"/>
      <c r="K171" s="11"/>
    </row>
    <row r="172" spans="1:38" ht="14.2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38" ht="14.25" x14ac:dyDescent="0.2">
      <c r="A173" s="57" t="s">
        <v>217</v>
      </c>
      <c r="B173" s="57"/>
      <c r="C173" s="58" t="str">
        <f>IF(Source!AE12&lt;&gt;"", Source!AE12," ")</f>
        <v>Главный инженер</v>
      </c>
      <c r="D173" s="58"/>
      <c r="E173" s="58"/>
      <c r="F173" s="58"/>
      <c r="G173" s="58"/>
      <c r="H173" s="14" t="str">
        <f>IF(Source!AD12&lt;&gt;"", Source!AD12," ")</f>
        <v>Алексеев Е.В.</v>
      </c>
      <c r="I173" s="14"/>
      <c r="J173" s="14"/>
      <c r="K173" s="14"/>
    </row>
    <row r="174" spans="1:38" ht="14.25" x14ac:dyDescent="0.2">
      <c r="A174" s="11"/>
      <c r="B174" s="11"/>
      <c r="C174" s="22" t="s">
        <v>216</v>
      </c>
      <c r="D174" s="22"/>
      <c r="E174" s="22"/>
      <c r="F174" s="22"/>
      <c r="G174" s="22"/>
      <c r="H174" s="11"/>
      <c r="I174" s="11"/>
      <c r="J174" s="11"/>
      <c r="K174" s="11"/>
    </row>
  </sheetData>
  <mergeCells count="85">
    <mergeCell ref="C174:G174"/>
    <mergeCell ref="C167:I167"/>
    <mergeCell ref="J167:K167"/>
    <mergeCell ref="A170:B170"/>
    <mergeCell ref="H170:K170"/>
    <mergeCell ref="C171:G171"/>
    <mergeCell ref="A173:B173"/>
    <mergeCell ref="H173:K173"/>
    <mergeCell ref="J162:K162"/>
    <mergeCell ref="H162:I162"/>
    <mergeCell ref="A162:G162"/>
    <mergeCell ref="C165:I165"/>
    <mergeCell ref="J165:K165"/>
    <mergeCell ref="C166:I166"/>
    <mergeCell ref="J166:K166"/>
    <mergeCell ref="J154:K154"/>
    <mergeCell ref="H154:I154"/>
    <mergeCell ref="A154:G154"/>
    <mergeCell ref="J158:K158"/>
    <mergeCell ref="H158:I158"/>
    <mergeCell ref="A158:G158"/>
    <mergeCell ref="A144:G144"/>
    <mergeCell ref="A148:K148"/>
    <mergeCell ref="J150:K150"/>
    <mergeCell ref="H150:I150"/>
    <mergeCell ref="J152:K152"/>
    <mergeCell ref="H152:I152"/>
    <mergeCell ref="J136:K136"/>
    <mergeCell ref="H136:I136"/>
    <mergeCell ref="J142:K142"/>
    <mergeCell ref="H142:I142"/>
    <mergeCell ref="J144:K144"/>
    <mergeCell ref="H144:I144"/>
    <mergeCell ref="J118:K118"/>
    <mergeCell ref="H118:I118"/>
    <mergeCell ref="J124:K124"/>
    <mergeCell ref="H124:I124"/>
    <mergeCell ref="J130:K130"/>
    <mergeCell ref="H130:I130"/>
    <mergeCell ref="A96:G96"/>
    <mergeCell ref="A100:K100"/>
    <mergeCell ref="J106:K106"/>
    <mergeCell ref="H106:I106"/>
    <mergeCell ref="J112:K112"/>
    <mergeCell ref="H112:I112"/>
    <mergeCell ref="J83:K83"/>
    <mergeCell ref="H83:I83"/>
    <mergeCell ref="J94:K94"/>
    <mergeCell ref="H94:I94"/>
    <mergeCell ref="J96:K96"/>
    <mergeCell ref="H96:I96"/>
    <mergeCell ref="J54:K54"/>
    <mergeCell ref="H54:I54"/>
    <mergeCell ref="J64:K64"/>
    <mergeCell ref="H64:I64"/>
    <mergeCell ref="J74:K74"/>
    <mergeCell ref="H74:I74"/>
    <mergeCell ref="F28:H28"/>
    <mergeCell ref="A29:K29"/>
    <mergeCell ref="A33:K33"/>
    <mergeCell ref="A35:K35"/>
    <mergeCell ref="J44:K44"/>
    <mergeCell ref="H44:I44"/>
    <mergeCell ref="F22:H22"/>
    <mergeCell ref="F23:H23"/>
    <mergeCell ref="F24:H24"/>
    <mergeCell ref="F25:H25"/>
    <mergeCell ref="F26:H26"/>
    <mergeCell ref="F27:H27"/>
    <mergeCell ref="A12:K12"/>
    <mergeCell ref="A14:K14"/>
    <mergeCell ref="A16:K16"/>
    <mergeCell ref="A17:K17"/>
    <mergeCell ref="A19:K19"/>
    <mergeCell ref="F21:H21"/>
    <mergeCell ref="B7:E7"/>
    <mergeCell ref="G7:K7"/>
    <mergeCell ref="J2:K2"/>
    <mergeCell ref="A11:K11"/>
    <mergeCell ref="B3:E3"/>
    <mergeCell ref="G3:K3"/>
    <mergeCell ref="B4:E4"/>
    <mergeCell ref="G4:K4"/>
    <mergeCell ref="B6:E6"/>
    <mergeCell ref="G6:K6"/>
  </mergeCells>
  <pageMargins left="0.4" right="0.2" top="0.2" bottom="0.4" header="0.2" footer="0.2"/>
  <pageSetup paperSize="9" scale="71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1"/>
  <sheetViews>
    <sheetView zoomScaleNormal="100" workbookViewId="0"/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5" width="11.7109375" customWidth="1"/>
    <col min="6" max="6" width="8.140625" bestFit="1" customWidth="1"/>
    <col min="7" max="7" width="11.28515625" bestFit="1" customWidth="1"/>
    <col min="8" max="8" width="8.7109375" bestFit="1" customWidth="1"/>
    <col min="9" max="9" width="10" bestFit="1" customWidth="1"/>
    <col min="10" max="10" width="11.28515625" bestFit="1" customWidth="1"/>
    <col min="11" max="11" width="9.140625" bestFit="1" customWidth="1"/>
    <col min="12" max="12" width="12.42578125" bestFit="1" customWidth="1"/>
    <col min="14" max="35" width="0" hidden="1" customWidth="1"/>
    <col min="36" max="36" width="91" hidden="1" customWidth="1"/>
    <col min="37" max="37" width="134.7109375" hidden="1" customWidth="1"/>
    <col min="38" max="38" width="101" hidden="1" customWidth="1"/>
    <col min="39" max="42" width="0" hidden="1" customWidth="1"/>
  </cols>
  <sheetData>
    <row r="1" spans="1:36" x14ac:dyDescent="0.2">
      <c r="A1" s="9" t="str">
        <f>Source!B1</f>
        <v>Smeta.RU  (495) 974-1589</v>
      </c>
    </row>
    <row r="2" spans="1:36" ht="15" x14ac:dyDescent="0.25">
      <c r="A2" s="11"/>
      <c r="B2" s="11"/>
      <c r="C2" s="53"/>
      <c r="D2" s="53"/>
      <c r="E2" s="53"/>
      <c r="F2" s="11"/>
      <c r="G2" s="11"/>
      <c r="H2" s="11"/>
      <c r="I2" s="59" t="s">
        <v>218</v>
      </c>
      <c r="J2" s="59"/>
      <c r="K2" s="59"/>
      <c r="L2" s="59"/>
    </row>
    <row r="3" spans="1:36" ht="14.25" x14ac:dyDescent="0.2">
      <c r="A3" s="11"/>
      <c r="B3" s="11"/>
      <c r="C3" s="11"/>
      <c r="D3" s="11"/>
      <c r="E3" s="11"/>
      <c r="F3" s="11"/>
      <c r="G3" s="11"/>
      <c r="H3" s="11"/>
      <c r="I3" s="59" t="s">
        <v>219</v>
      </c>
      <c r="J3" s="59"/>
      <c r="K3" s="59"/>
      <c r="L3" s="59"/>
    </row>
    <row r="4" spans="1:36" ht="14.25" x14ac:dyDescent="0.2">
      <c r="A4" s="11"/>
      <c r="B4" s="11"/>
      <c r="C4" s="11"/>
      <c r="D4" s="11"/>
      <c r="E4" s="11"/>
      <c r="F4" s="11"/>
      <c r="G4" s="11"/>
      <c r="H4" s="11"/>
      <c r="I4" s="59" t="s">
        <v>220</v>
      </c>
      <c r="J4" s="59"/>
      <c r="K4" s="59"/>
      <c r="L4" s="59"/>
    </row>
    <row r="5" spans="1:36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60" t="s">
        <v>221</v>
      </c>
      <c r="K6" s="60"/>
      <c r="L6" s="60"/>
    </row>
    <row r="7" spans="1:36" ht="14.25" x14ac:dyDescent="0.2">
      <c r="A7" s="11"/>
      <c r="B7" s="11"/>
      <c r="C7" s="11"/>
      <c r="D7" s="11"/>
      <c r="E7" s="11"/>
      <c r="F7" s="11"/>
      <c r="G7" s="11"/>
      <c r="H7" s="20" t="s">
        <v>222</v>
      </c>
      <c r="I7" s="61"/>
      <c r="J7" s="62" t="s">
        <v>223</v>
      </c>
      <c r="K7" s="62"/>
      <c r="L7" s="62"/>
    </row>
    <row r="8" spans="1:36" ht="14.25" x14ac:dyDescent="0.2">
      <c r="A8" s="11"/>
      <c r="B8" s="11"/>
      <c r="C8" s="11"/>
      <c r="D8" s="11"/>
      <c r="E8" s="11"/>
      <c r="F8" s="11"/>
      <c r="G8" s="11"/>
      <c r="H8" s="11"/>
      <c r="I8" s="11"/>
      <c r="J8" s="60" t="str">
        <f>IF(Source!AT15 &lt;&gt; "", Source!AT15, "")</f>
        <v/>
      </c>
      <c r="K8" s="60"/>
      <c r="L8" s="60"/>
    </row>
    <row r="9" spans="1:36" ht="14.25" x14ac:dyDescent="0.2">
      <c r="A9" s="11" t="s">
        <v>224</v>
      </c>
      <c r="B9" s="11"/>
      <c r="C9" s="34" t="str">
        <f>IF(Source!BA15 &lt;&gt; "", Source!BA15, IF(Source!AU15 &lt;&gt; "", Source!AU15, ""))</f>
        <v/>
      </c>
      <c r="D9" s="34"/>
      <c r="E9" s="34"/>
      <c r="F9" s="34"/>
      <c r="G9" s="34"/>
      <c r="H9" s="34"/>
      <c r="I9" s="10" t="s">
        <v>225</v>
      </c>
      <c r="J9" s="60"/>
      <c r="K9" s="60"/>
      <c r="L9" s="60"/>
    </row>
    <row r="10" spans="1:36" ht="14.25" x14ac:dyDescent="0.2">
      <c r="A10" s="11"/>
      <c r="B10" s="11"/>
      <c r="C10" s="22" t="s">
        <v>226</v>
      </c>
      <c r="D10" s="22"/>
      <c r="E10" s="22"/>
      <c r="F10" s="22"/>
      <c r="G10" s="22"/>
      <c r="H10" s="22"/>
      <c r="I10" s="11"/>
      <c r="J10" s="60" t="str">
        <f>IF(Source!AK15 &lt;&gt; "", Source!AK15, "")</f>
        <v/>
      </c>
      <c r="K10" s="60"/>
      <c r="L10" s="60"/>
    </row>
    <row r="11" spans="1:36" ht="14.25" x14ac:dyDescent="0.2">
      <c r="A11" s="11" t="s">
        <v>227</v>
      </c>
      <c r="B11" s="11"/>
      <c r="C11" s="34" t="str">
        <f>IF(Source!AX12&lt;&gt; "", Source!AX12, IF(Source!AJ12 &lt;&gt; "", Source!AJ12, ""))</f>
        <v>МУП "Троицкая электросеть", г. Москва, г. Троицк, ул. Лесная, д. 6.</v>
      </c>
      <c r="D11" s="34"/>
      <c r="E11" s="34"/>
      <c r="F11" s="34"/>
      <c r="G11" s="34"/>
      <c r="H11" s="34"/>
      <c r="I11" s="10" t="s">
        <v>225</v>
      </c>
      <c r="J11" s="60"/>
      <c r="K11" s="60"/>
      <c r="L11" s="60"/>
      <c r="AJ11" s="38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4.25" x14ac:dyDescent="0.2">
      <c r="A12" s="11"/>
      <c r="B12" s="11"/>
      <c r="C12" s="22" t="s">
        <v>226</v>
      </c>
      <c r="D12" s="22"/>
      <c r="E12" s="22"/>
      <c r="F12" s="22"/>
      <c r="G12" s="22"/>
      <c r="H12" s="22"/>
      <c r="I12" s="11"/>
      <c r="J12" s="60" t="str">
        <f>IF(Source!AO15 &lt;&gt; "", Source!AO15, "")</f>
        <v/>
      </c>
      <c r="K12" s="60"/>
      <c r="L12" s="60"/>
    </row>
    <row r="13" spans="1:36" ht="14.25" x14ac:dyDescent="0.2">
      <c r="A13" s="11" t="s">
        <v>228</v>
      </c>
      <c r="B13" s="11"/>
      <c r="C13" s="34" t="str">
        <f>IF(Source!AY12&lt;&gt; "", Source!AY12, IF(Source!AN12 &lt;&gt; "", Source!AN12, ""))</f>
        <v/>
      </c>
      <c r="D13" s="34"/>
      <c r="E13" s="34"/>
      <c r="F13" s="34"/>
      <c r="G13" s="34"/>
      <c r="H13" s="34"/>
      <c r="I13" s="10" t="s">
        <v>225</v>
      </c>
      <c r="J13" s="60"/>
      <c r="K13" s="60"/>
      <c r="L13" s="60"/>
    </row>
    <row r="14" spans="1:36" ht="14.25" x14ac:dyDescent="0.2">
      <c r="A14" s="11"/>
      <c r="B14" s="11"/>
      <c r="C14" s="22" t="s">
        <v>226</v>
      </c>
      <c r="D14" s="22"/>
      <c r="E14" s="22"/>
      <c r="F14" s="22"/>
      <c r="G14" s="22"/>
      <c r="H14" s="22"/>
      <c r="I14" s="11"/>
      <c r="J14" s="60" t="str">
        <f>IF(Source!CO15 &lt;&gt; "", Source!CO15, "")</f>
        <v/>
      </c>
      <c r="K14" s="60"/>
      <c r="L14" s="60"/>
    </row>
    <row r="15" spans="1:36" ht="14.25" x14ac:dyDescent="0.2">
      <c r="A15" s="11" t="s">
        <v>229</v>
      </c>
      <c r="B15" s="11"/>
      <c r="C15" s="34" t="s">
        <v>4</v>
      </c>
      <c r="D15" s="34"/>
      <c r="E15" s="34"/>
      <c r="F15" s="34"/>
      <c r="G15" s="34"/>
      <c r="H15" s="34"/>
      <c r="I15" s="11"/>
      <c r="J15" s="60"/>
      <c r="K15" s="60"/>
      <c r="L15" s="60"/>
      <c r="AJ15" s="38" t="s">
        <v>4</v>
      </c>
    </row>
    <row r="16" spans="1:36" ht="14.25" x14ac:dyDescent="0.2">
      <c r="A16" s="11"/>
      <c r="B16" s="11"/>
      <c r="C16" s="22" t="s">
        <v>230</v>
      </c>
      <c r="D16" s="22"/>
      <c r="E16" s="22"/>
      <c r="F16" s="22"/>
      <c r="G16" s="22"/>
      <c r="H16" s="22"/>
      <c r="I16" s="11"/>
      <c r="J16" s="60" t="str">
        <f>IF(Source!CP15 &lt;&gt; "", Source!CP15, "")</f>
        <v/>
      </c>
      <c r="K16" s="60"/>
      <c r="L16" s="60"/>
    </row>
    <row r="17" spans="1:36" ht="14.25" x14ac:dyDescent="0.2">
      <c r="A17" s="11" t="s">
        <v>231</v>
      </c>
      <c r="B17" s="11"/>
      <c r="C17" s="19" t="str">
        <f>IF(Source!G12&lt;&gt;"Новый объект", Source!G12, "")</f>
        <v>ТП-502. Реконструкция. Замена 8 ячеек РУ-10 кВ.</v>
      </c>
      <c r="D17" s="19"/>
      <c r="E17" s="19"/>
      <c r="F17" s="19"/>
      <c r="G17" s="19"/>
      <c r="H17" s="19"/>
      <c r="I17" s="11"/>
      <c r="J17" s="60"/>
      <c r="K17" s="60"/>
      <c r="L17" s="60"/>
      <c r="AJ17" s="85" t="str">
        <f>IF(Source!G12&lt;&gt;"Новый объект", Source!G12, "")</f>
        <v>ТП-502. Реконструкция. Замена 8 ячеек РУ-10 кВ.</v>
      </c>
    </row>
    <row r="18" spans="1:36" ht="14.25" x14ac:dyDescent="0.2">
      <c r="A18" s="11"/>
      <c r="B18" s="11"/>
      <c r="C18" s="22" t="s">
        <v>232</v>
      </c>
      <c r="D18" s="22"/>
      <c r="E18" s="22"/>
      <c r="F18" s="22"/>
      <c r="G18" s="22"/>
      <c r="H18" s="22"/>
      <c r="I18" s="11"/>
      <c r="J18" s="11"/>
      <c r="K18" s="11"/>
      <c r="L18" s="11"/>
    </row>
    <row r="19" spans="1:36" ht="14.25" x14ac:dyDescent="0.2">
      <c r="A19" s="11"/>
      <c r="B19" s="11"/>
      <c r="C19" s="11"/>
      <c r="D19" s="11"/>
      <c r="E19" s="11"/>
      <c r="F19" s="11"/>
      <c r="G19" s="20" t="s">
        <v>233</v>
      </c>
      <c r="H19" s="20"/>
      <c r="I19" s="63"/>
      <c r="J19" s="60" t="str">
        <f>IF(Source!CQ15 &lt;&gt; "", Source!CQ15, "")</f>
        <v/>
      </c>
      <c r="K19" s="60"/>
      <c r="L19" s="60"/>
    </row>
    <row r="20" spans="1:36" ht="14.25" x14ac:dyDescent="0.2">
      <c r="A20" s="11"/>
      <c r="B20" s="11"/>
      <c r="C20" s="11"/>
      <c r="D20" s="11"/>
      <c r="E20" s="11"/>
      <c r="F20" s="11"/>
      <c r="G20" s="20" t="s">
        <v>234</v>
      </c>
      <c r="H20" s="61"/>
      <c r="I20" s="64" t="s">
        <v>235</v>
      </c>
      <c r="J20" s="60" t="str">
        <f>IF(Source!CR15 &lt;&gt; "", Source!CR15, "")</f>
        <v/>
      </c>
      <c r="K20" s="60"/>
      <c r="L20" s="60"/>
    </row>
    <row r="21" spans="1:36" ht="14.25" x14ac:dyDescent="0.2">
      <c r="A21" s="11"/>
      <c r="B21" s="11"/>
      <c r="C21" s="11"/>
      <c r="D21" s="11"/>
      <c r="E21" s="11"/>
      <c r="F21" s="11"/>
      <c r="G21" s="11"/>
      <c r="H21" s="11"/>
      <c r="I21" s="65" t="s">
        <v>236</v>
      </c>
      <c r="J21" s="66" t="str">
        <f>IF(Source!CS15 &lt;&gt; 0, Source!CS15, "")</f>
        <v/>
      </c>
      <c r="K21" s="66"/>
      <c r="L21" s="66"/>
    </row>
    <row r="22" spans="1:36" ht="14.25" x14ac:dyDescent="0.2">
      <c r="A22" s="11"/>
      <c r="B22" s="11"/>
      <c r="C22" s="11"/>
      <c r="D22" s="11"/>
      <c r="E22" s="11"/>
      <c r="F22" s="11"/>
      <c r="G22" s="11"/>
      <c r="H22" s="20" t="s">
        <v>237</v>
      </c>
      <c r="I22" s="61"/>
      <c r="J22" s="60" t="str">
        <f>IF(Source!CT15 &lt;&gt; "", Source!CT15, "")</f>
        <v/>
      </c>
      <c r="K22" s="60"/>
      <c r="L22" s="60"/>
    </row>
    <row r="23" spans="1:36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36" ht="14.25" x14ac:dyDescent="0.2">
      <c r="A24" s="11"/>
      <c r="B24" s="11"/>
      <c r="C24" s="11"/>
      <c r="D24" s="11"/>
      <c r="E24" s="11"/>
      <c r="F24" s="11"/>
      <c r="G24" s="67" t="s">
        <v>238</v>
      </c>
      <c r="H24" s="68" t="s">
        <v>239</v>
      </c>
      <c r="I24" s="68" t="s">
        <v>240</v>
      </c>
      <c r="J24" s="69"/>
      <c r="K24" s="11"/>
      <c r="L24" s="11"/>
    </row>
    <row r="25" spans="1:36" ht="14.25" x14ac:dyDescent="0.2">
      <c r="A25" s="11"/>
      <c r="B25" s="11"/>
      <c r="C25" s="11"/>
      <c r="D25" s="11"/>
      <c r="E25" s="11"/>
      <c r="F25" s="11"/>
      <c r="G25" s="70"/>
      <c r="H25" s="71"/>
      <c r="I25" s="72"/>
      <c r="J25" s="73"/>
      <c r="K25" s="11"/>
      <c r="L25" s="11"/>
    </row>
    <row r="26" spans="1:36" ht="14.25" x14ac:dyDescent="0.2">
      <c r="A26" s="11"/>
      <c r="B26" s="11"/>
      <c r="C26" s="11"/>
      <c r="D26" s="11"/>
      <c r="E26" s="11"/>
      <c r="F26" s="11"/>
      <c r="G26" s="74"/>
      <c r="H26" s="71"/>
      <c r="I26" s="75" t="s">
        <v>241</v>
      </c>
      <c r="J26" s="76" t="s">
        <v>242</v>
      </c>
      <c r="K26" s="11"/>
      <c r="L26" s="11"/>
    </row>
    <row r="27" spans="1:36" ht="14.25" x14ac:dyDescent="0.2">
      <c r="A27" s="11"/>
      <c r="B27" s="11"/>
      <c r="C27" s="11"/>
      <c r="D27" s="11"/>
      <c r="E27" s="11"/>
      <c r="F27" s="11"/>
      <c r="G27" s="77"/>
      <c r="H27" s="78" t="str">
        <f>IF(Source!CX15 &lt;&gt; 0, Source!CX15, "")</f>
        <v/>
      </c>
      <c r="I27" s="78" t="str">
        <f>IF(Source!CV15 &lt;&gt; 0, Source!CV15, "")</f>
        <v/>
      </c>
      <c r="J27" s="78" t="str">
        <f>IF(Source!CW15 &lt;&gt; 0, Source!CW15, "")</f>
        <v/>
      </c>
      <c r="K27" s="11"/>
      <c r="L27" s="11"/>
    </row>
    <row r="28" spans="1:36" ht="14.2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36" ht="18" x14ac:dyDescent="0.25">
      <c r="A29" s="79" t="s">
        <v>243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1:36" ht="18" x14ac:dyDescent="0.25">
      <c r="A30" s="79" t="s">
        <v>244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36" ht="14.2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36" ht="15" x14ac:dyDescent="0.25">
      <c r="A32" s="11" t="s">
        <v>245</v>
      </c>
      <c r="B32" s="11"/>
      <c r="C32" s="11"/>
      <c r="D32" s="11"/>
      <c r="E32" s="11"/>
      <c r="F32" s="11"/>
      <c r="G32" s="11"/>
      <c r="H32" s="80">
        <f>(Source!F172/1000)</f>
        <v>1205.0061599999999</v>
      </c>
      <c r="I32" s="80"/>
      <c r="J32" s="11" t="s">
        <v>246</v>
      </c>
      <c r="K32" s="11"/>
      <c r="L32" s="11"/>
    </row>
    <row r="33" spans="1:37" ht="14.25" x14ac:dyDescent="0.2">
      <c r="A33" s="34" t="s">
        <v>201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AK33" s="38" t="s">
        <v>201</v>
      </c>
    </row>
    <row r="34" spans="1:37" ht="14.25" x14ac:dyDescent="0.2">
      <c r="A34" s="81" t="s">
        <v>247</v>
      </c>
      <c r="B34" s="81"/>
      <c r="C34" s="81" t="s">
        <v>191</v>
      </c>
      <c r="D34" s="81" t="s">
        <v>192</v>
      </c>
      <c r="E34" s="81" t="s">
        <v>193</v>
      </c>
      <c r="F34" s="81" t="s">
        <v>194</v>
      </c>
      <c r="G34" s="81" t="s">
        <v>195</v>
      </c>
      <c r="H34" s="82" t="s">
        <v>196</v>
      </c>
      <c r="I34" s="82" t="s">
        <v>197</v>
      </c>
      <c r="J34" s="81" t="s">
        <v>198</v>
      </c>
      <c r="K34" s="81" t="s">
        <v>199</v>
      </c>
      <c r="L34" s="81" t="s">
        <v>200</v>
      </c>
    </row>
    <row r="35" spans="1:37" x14ac:dyDescent="0.2">
      <c r="A35" s="82" t="s">
        <v>248</v>
      </c>
      <c r="B35" s="82" t="s">
        <v>249</v>
      </c>
      <c r="C35" s="81"/>
      <c r="D35" s="81"/>
      <c r="E35" s="81"/>
      <c r="F35" s="81"/>
      <c r="G35" s="81"/>
      <c r="H35" s="83"/>
      <c r="I35" s="83"/>
      <c r="J35" s="81"/>
      <c r="K35" s="81"/>
      <c r="L35" s="81"/>
    </row>
    <row r="36" spans="1:37" x14ac:dyDescent="0.2">
      <c r="A36" s="83"/>
      <c r="B36" s="83"/>
      <c r="C36" s="81"/>
      <c r="D36" s="81"/>
      <c r="E36" s="81"/>
      <c r="F36" s="81"/>
      <c r="G36" s="81"/>
      <c r="H36" s="83"/>
      <c r="I36" s="83"/>
      <c r="J36" s="81"/>
      <c r="K36" s="81"/>
      <c r="L36" s="81"/>
    </row>
    <row r="37" spans="1:37" x14ac:dyDescent="0.2">
      <c r="A37" s="83"/>
      <c r="B37" s="83"/>
      <c r="C37" s="81"/>
      <c r="D37" s="81"/>
      <c r="E37" s="81"/>
      <c r="F37" s="81"/>
      <c r="G37" s="81"/>
      <c r="H37" s="83"/>
      <c r="I37" s="83"/>
      <c r="J37" s="81"/>
      <c r="K37" s="81"/>
      <c r="L37" s="81"/>
    </row>
    <row r="38" spans="1:37" x14ac:dyDescent="0.2">
      <c r="A38" s="83"/>
      <c r="B38" s="83"/>
      <c r="C38" s="81"/>
      <c r="D38" s="81"/>
      <c r="E38" s="81"/>
      <c r="F38" s="81"/>
      <c r="G38" s="81"/>
      <c r="H38" s="83"/>
      <c r="I38" s="83"/>
      <c r="J38" s="81"/>
      <c r="K38" s="81"/>
      <c r="L38" s="81"/>
    </row>
    <row r="39" spans="1:37" x14ac:dyDescent="0.2">
      <c r="A39" s="84"/>
      <c r="B39" s="84"/>
      <c r="C39" s="81"/>
      <c r="D39" s="81"/>
      <c r="E39" s="81"/>
      <c r="F39" s="81"/>
      <c r="G39" s="81"/>
      <c r="H39" s="84"/>
      <c r="I39" s="84"/>
      <c r="J39" s="81"/>
      <c r="K39" s="81"/>
      <c r="L39" s="81"/>
    </row>
    <row r="40" spans="1:37" ht="14.25" x14ac:dyDescent="0.2">
      <c r="A40" s="35">
        <v>1</v>
      </c>
      <c r="B40" s="35">
        <v>2</v>
      </c>
      <c r="C40" s="35">
        <v>3</v>
      </c>
      <c r="D40" s="35">
        <v>4</v>
      </c>
      <c r="E40" s="35">
        <v>5</v>
      </c>
      <c r="F40" s="35">
        <v>6</v>
      </c>
      <c r="G40" s="35">
        <v>7</v>
      </c>
      <c r="H40" s="35">
        <v>8</v>
      </c>
      <c r="I40" s="35">
        <v>9</v>
      </c>
      <c r="J40" s="35">
        <v>10</v>
      </c>
      <c r="K40" s="35">
        <v>11</v>
      </c>
      <c r="L40" s="35">
        <v>12</v>
      </c>
    </row>
    <row r="42" spans="1:37" ht="16.5" x14ac:dyDescent="0.25">
      <c r="A42" s="39" t="str">
        <f>CONCATENATE("Раздел: ",IF(Source!G24&lt;&gt;"Новый раздел", Source!G24, ""))</f>
        <v>Раздел: Электромонтажные работы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37" ht="57" x14ac:dyDescent="0.2">
      <c r="A43" s="40">
        <v>1</v>
      </c>
      <c r="B43" s="40" t="str">
        <f>Source!E28</f>
        <v>1</v>
      </c>
      <c r="C43" s="41" t="str">
        <f>Source!F28</f>
        <v>4.8-61-4</v>
      </c>
      <c r="D43" s="41" t="s">
        <v>25</v>
      </c>
      <c r="E43" s="42" t="str">
        <f>Source!H28</f>
        <v>шт.</v>
      </c>
      <c r="F43" s="10">
        <f>Source!I28</f>
        <v>8</v>
      </c>
      <c r="G43" s="44"/>
      <c r="H43" s="43"/>
      <c r="I43" s="10"/>
      <c r="J43" s="45"/>
      <c r="K43" s="10"/>
      <c r="L43" s="45"/>
      <c r="Q43">
        <f>ROUND((Source!DN28/100)*ROUND((ROUND((Source!AF28*Source!AV28*Source!I28),2)),2), 2)</f>
        <v>1561.72</v>
      </c>
      <c r="R43">
        <f>Source!X28</f>
        <v>26181.279999999999</v>
      </c>
      <c r="S43">
        <f>ROUND((Source!DO28/100)*ROUND((ROUND((Source!AF28*Source!AV28*Source!I28),2)),2), 2)</f>
        <v>917.85</v>
      </c>
      <c r="T43">
        <f>Source!Y28</f>
        <v>13940.68</v>
      </c>
      <c r="U43">
        <f>ROUND((175/100)*ROUND((ROUND((Source!AE28*Source!AV28*Source!I28),2)),2), 2)</f>
        <v>69.13</v>
      </c>
      <c r="V43">
        <f>ROUND((157/100)*ROUND(ROUND((ROUND((Source!AE28*Source!AV28*Source!I28),2)*Source!BS28),2), 2), 2)</f>
        <v>1539.21</v>
      </c>
    </row>
    <row r="44" spans="1:37" ht="28.5" x14ac:dyDescent="0.2">
      <c r="A44" s="40"/>
      <c r="B44" s="40"/>
      <c r="C44" s="41"/>
      <c r="D44" s="41" t="s">
        <v>202</v>
      </c>
      <c r="E44" s="42"/>
      <c r="F44" s="10"/>
      <c r="G44" s="44">
        <f>Source!AO28</f>
        <v>272.58999999999997</v>
      </c>
      <c r="H44" s="43" t="str">
        <f>Source!DG28</f>
        <v>)*1,2)*0,5</v>
      </c>
      <c r="I44" s="10">
        <f>Source!AV28</f>
        <v>1.0469999999999999</v>
      </c>
      <c r="J44" s="45">
        <f>ROUND((ROUND((Source!AF28*Source!AV28*Source!I28),2)),2)</f>
        <v>1369.93</v>
      </c>
      <c r="K44" s="10">
        <f>IF(Source!BA28&lt;&gt; 0, Source!BA28, 1)</f>
        <v>24.82</v>
      </c>
      <c r="L44" s="45">
        <f>Source!S28</f>
        <v>34001.660000000003</v>
      </c>
      <c r="W44">
        <f>J44</f>
        <v>1369.93</v>
      </c>
    </row>
    <row r="45" spans="1:37" ht="28.5" x14ac:dyDescent="0.2">
      <c r="A45" s="40"/>
      <c r="B45" s="40"/>
      <c r="C45" s="41"/>
      <c r="D45" s="41" t="s">
        <v>203</v>
      </c>
      <c r="E45" s="42"/>
      <c r="F45" s="10"/>
      <c r="G45" s="44">
        <f>Source!AM28</f>
        <v>33.86</v>
      </c>
      <c r="H45" s="43" t="str">
        <f>Source!DE28</f>
        <v>)*1,2)*0,5</v>
      </c>
      <c r="I45" s="10">
        <f>Source!AV28</f>
        <v>1.0469999999999999</v>
      </c>
      <c r="J45" s="45">
        <f>(ROUND((ROUND(((((Source!ET28*1.2)*0.5))*Source!AV28*Source!I28),2)),2)+ROUND((ROUND(((Source!AE28-(((Source!EU28*1.2)*0.5)))*Source!AV28*Source!I28),2)),2))</f>
        <v>170.17</v>
      </c>
      <c r="K45" s="10">
        <f>IF(Source!BB28&lt;&gt; 0, Source!BB28, 1)</f>
        <v>8.93</v>
      </c>
      <c r="L45" s="45">
        <f>Source!Q28</f>
        <v>1519.62</v>
      </c>
    </row>
    <row r="46" spans="1:37" ht="28.5" x14ac:dyDescent="0.2">
      <c r="A46" s="40"/>
      <c r="B46" s="40"/>
      <c r="C46" s="41"/>
      <c r="D46" s="41" t="s">
        <v>204</v>
      </c>
      <c r="E46" s="42"/>
      <c r="F46" s="10"/>
      <c r="G46" s="44">
        <f>Source!AN28</f>
        <v>7.86</v>
      </c>
      <c r="H46" s="43" t="str">
        <f>Source!DF28</f>
        <v>)*1,2)*0,5</v>
      </c>
      <c r="I46" s="10">
        <f>Source!AV28</f>
        <v>1.0469999999999999</v>
      </c>
      <c r="J46" s="46">
        <f>ROUND((ROUND((Source!AE28*Source!AV28*Source!I28),2)),2)</f>
        <v>39.5</v>
      </c>
      <c r="K46" s="10">
        <f>IF(Source!BS28&lt;&gt; 0, Source!BS28, 1)</f>
        <v>24.82</v>
      </c>
      <c r="L46" s="46">
        <f>Source!R28</f>
        <v>980.39</v>
      </c>
      <c r="W46">
        <f>J46</f>
        <v>39.5</v>
      </c>
    </row>
    <row r="47" spans="1:37" ht="14.25" x14ac:dyDescent="0.2">
      <c r="A47" s="40"/>
      <c r="B47" s="40"/>
      <c r="C47" s="41"/>
      <c r="D47" s="41" t="s">
        <v>205</v>
      </c>
      <c r="E47" s="42" t="s">
        <v>206</v>
      </c>
      <c r="F47" s="10">
        <f>Source!DN28</f>
        <v>114</v>
      </c>
      <c r="G47" s="44"/>
      <c r="H47" s="43"/>
      <c r="I47" s="10"/>
      <c r="J47" s="45">
        <f>SUM(Q43:Q46)</f>
        <v>1561.72</v>
      </c>
      <c r="K47" s="10">
        <f>Source!BZ28</f>
        <v>77</v>
      </c>
      <c r="L47" s="45">
        <f>SUM(R43:R46)</f>
        <v>26181.279999999999</v>
      </c>
    </row>
    <row r="48" spans="1:37" ht="14.25" x14ac:dyDescent="0.2">
      <c r="A48" s="40"/>
      <c r="B48" s="40"/>
      <c r="C48" s="41"/>
      <c r="D48" s="41" t="s">
        <v>207</v>
      </c>
      <c r="E48" s="42" t="s">
        <v>206</v>
      </c>
      <c r="F48" s="10">
        <f>Source!DO28</f>
        <v>67</v>
      </c>
      <c r="G48" s="44"/>
      <c r="H48" s="43"/>
      <c r="I48" s="10"/>
      <c r="J48" s="45">
        <f>SUM(S43:S47)</f>
        <v>917.85</v>
      </c>
      <c r="K48" s="10">
        <f>Source!CA28</f>
        <v>41</v>
      </c>
      <c r="L48" s="45">
        <f>SUM(T43:T47)</f>
        <v>13940.68</v>
      </c>
    </row>
    <row r="49" spans="1:27" ht="14.25" x14ac:dyDescent="0.2">
      <c r="A49" s="40"/>
      <c r="B49" s="40"/>
      <c r="C49" s="41"/>
      <c r="D49" s="41" t="s">
        <v>208</v>
      </c>
      <c r="E49" s="42" t="s">
        <v>206</v>
      </c>
      <c r="F49" s="10">
        <f>175</f>
        <v>175</v>
      </c>
      <c r="G49" s="44"/>
      <c r="H49" s="43"/>
      <c r="I49" s="10"/>
      <c r="J49" s="45">
        <f>SUM(U43:U48)</f>
        <v>69.13</v>
      </c>
      <c r="K49" s="10">
        <f>157</f>
        <v>157</v>
      </c>
      <c r="L49" s="45">
        <f>SUM(V43:V48)</f>
        <v>1539.21</v>
      </c>
    </row>
    <row r="50" spans="1:27" ht="28.5" x14ac:dyDescent="0.2">
      <c r="A50" s="40"/>
      <c r="B50" s="40"/>
      <c r="C50" s="41"/>
      <c r="D50" s="41" t="s">
        <v>209</v>
      </c>
      <c r="E50" s="42" t="s">
        <v>210</v>
      </c>
      <c r="F50" s="10">
        <f>Source!AQ28</f>
        <v>21.6</v>
      </c>
      <c r="G50" s="44"/>
      <c r="H50" s="43" t="str">
        <f>Source!DI28</f>
        <v>)*1,2)*0,5</v>
      </c>
      <c r="I50" s="10">
        <f>Source!AV28</f>
        <v>1.0469999999999999</v>
      </c>
      <c r="J50" s="45">
        <f>Source!U28</f>
        <v>108.55296</v>
      </c>
      <c r="K50" s="10"/>
      <c r="L50" s="45"/>
    </row>
    <row r="51" spans="1:27" ht="15" x14ac:dyDescent="0.25">
      <c r="A51" s="50"/>
      <c r="B51" s="50"/>
      <c r="C51" s="50"/>
      <c r="D51" s="50"/>
      <c r="E51" s="50"/>
      <c r="F51" s="50"/>
      <c r="G51" s="50"/>
      <c r="H51" s="50"/>
      <c r="I51" s="51">
        <f>J44+J45+J47+J48+J49</f>
        <v>4088.8</v>
      </c>
      <c r="J51" s="51"/>
      <c r="K51" s="51">
        <f>L44+L45+L47+L48+L49</f>
        <v>77182.450000000012</v>
      </c>
      <c r="L51" s="51"/>
      <c r="O51" s="47">
        <f>J44+J45+J47+J48+J49</f>
        <v>4088.8</v>
      </c>
      <c r="P51" s="47">
        <f>L44+L45+L47+L48+L49</f>
        <v>77182.450000000012</v>
      </c>
      <c r="X51">
        <f>IF(Source!BI28&lt;=1,J44+J45+J47+J48+J49-0, 0)</f>
        <v>0</v>
      </c>
      <c r="Y51">
        <f>IF(Source!BI28=2,J44+J45+J47+J48+J49-0, 0)</f>
        <v>4088.8</v>
      </c>
      <c r="Z51">
        <f>IF(Source!BI28=3,J44+J45+J47+J48+J49-0, 0)</f>
        <v>0</v>
      </c>
      <c r="AA51">
        <f>IF(Source!BI28=4,J44+J45+J47+J48+J49,0)</f>
        <v>0</v>
      </c>
    </row>
    <row r="52" spans="1:27" ht="57" x14ac:dyDescent="0.2">
      <c r="A52" s="40">
        <v>2</v>
      </c>
      <c r="B52" s="40" t="str">
        <f>Source!E29</f>
        <v>2</v>
      </c>
      <c r="C52" s="41" t="str">
        <f>Source!F29</f>
        <v>4.8-61-4</v>
      </c>
      <c r="D52" s="41" t="s">
        <v>35</v>
      </c>
      <c r="E52" s="42" t="str">
        <f>Source!H29</f>
        <v>шт.</v>
      </c>
      <c r="F52" s="10">
        <f>Source!I29</f>
        <v>8</v>
      </c>
      <c r="G52" s="44"/>
      <c r="H52" s="43"/>
      <c r="I52" s="10"/>
      <c r="J52" s="45"/>
      <c r="K52" s="10"/>
      <c r="L52" s="45"/>
      <c r="Q52">
        <f>ROUND((Source!DN29/100)*ROUND((ROUND((Source!AF29*Source!AV29*Source!I29),2)),2), 2)</f>
        <v>3123.44</v>
      </c>
      <c r="R52">
        <f>Source!X29</f>
        <v>52362.559999999998</v>
      </c>
      <c r="S52">
        <f>ROUND((Source!DO29/100)*ROUND((ROUND((Source!AF29*Source!AV29*Source!I29),2)),2), 2)</f>
        <v>1835.71</v>
      </c>
      <c r="T52">
        <f>Source!Y29</f>
        <v>27881.37</v>
      </c>
      <c r="U52">
        <f>ROUND((175/100)*ROUND((ROUND((Source!AE29*Source!AV29*Source!I29),2)),2), 2)</f>
        <v>138.25</v>
      </c>
      <c r="V52">
        <f>ROUND((157/100)*ROUND(ROUND((ROUND((Source!AE29*Source!AV29*Source!I29),2)*Source!BS29),2), 2), 2)</f>
        <v>3078.42</v>
      </c>
    </row>
    <row r="53" spans="1:27" ht="14.25" x14ac:dyDescent="0.2">
      <c r="A53" s="40"/>
      <c r="B53" s="40"/>
      <c r="C53" s="41"/>
      <c r="D53" s="41" t="s">
        <v>202</v>
      </c>
      <c r="E53" s="42"/>
      <c r="F53" s="10"/>
      <c r="G53" s="44">
        <f>Source!AO29</f>
        <v>272.58999999999997</v>
      </c>
      <c r="H53" s="43" t="str">
        <f>Source!DG29</f>
        <v>)*1,2</v>
      </c>
      <c r="I53" s="10">
        <f>Source!AV29</f>
        <v>1.0469999999999999</v>
      </c>
      <c r="J53" s="45">
        <f>ROUND((ROUND((Source!AF29*Source!AV29*Source!I29),2)),2)</f>
        <v>2739.86</v>
      </c>
      <c r="K53" s="10">
        <f>IF(Source!BA29&lt;&gt; 0, Source!BA29, 1)</f>
        <v>24.82</v>
      </c>
      <c r="L53" s="45">
        <f>Source!S29</f>
        <v>68003.33</v>
      </c>
      <c r="W53">
        <f>J53</f>
        <v>2739.86</v>
      </c>
    </row>
    <row r="54" spans="1:27" ht="14.25" x14ac:dyDescent="0.2">
      <c r="A54" s="40"/>
      <c r="B54" s="40"/>
      <c r="C54" s="41"/>
      <c r="D54" s="41" t="s">
        <v>203</v>
      </c>
      <c r="E54" s="42"/>
      <c r="F54" s="10"/>
      <c r="G54" s="44">
        <f>Source!AM29</f>
        <v>33.86</v>
      </c>
      <c r="H54" s="43" t="str">
        <f>Source!DE29</f>
        <v>)*1,2</v>
      </c>
      <c r="I54" s="10">
        <f>Source!AV29</f>
        <v>1.0469999999999999</v>
      </c>
      <c r="J54" s="45">
        <f>(ROUND((ROUND((((Source!ET29*1.2))*Source!AV29*Source!I29),2)),2)+ROUND((ROUND(((Source!AE29-((Source!EU29*1.2)))*Source!AV29*Source!I29),2)),2))</f>
        <v>340.33</v>
      </c>
      <c r="K54" s="10">
        <f>IF(Source!BB29&lt;&gt; 0, Source!BB29, 1)</f>
        <v>8.93</v>
      </c>
      <c r="L54" s="45">
        <f>Source!Q29</f>
        <v>3039.15</v>
      </c>
    </row>
    <row r="55" spans="1:27" ht="14.25" x14ac:dyDescent="0.2">
      <c r="A55" s="40"/>
      <c r="B55" s="40"/>
      <c r="C55" s="41"/>
      <c r="D55" s="41" t="s">
        <v>204</v>
      </c>
      <c r="E55" s="42"/>
      <c r="F55" s="10"/>
      <c r="G55" s="44">
        <f>Source!AN29</f>
        <v>7.86</v>
      </c>
      <c r="H55" s="43" t="str">
        <f>Source!DF29</f>
        <v>)*1,2</v>
      </c>
      <c r="I55" s="10">
        <f>Source!AV29</f>
        <v>1.0469999999999999</v>
      </c>
      <c r="J55" s="46">
        <f>ROUND((ROUND((Source!AE29*Source!AV29*Source!I29),2)),2)</f>
        <v>79</v>
      </c>
      <c r="K55" s="10">
        <f>IF(Source!BS29&lt;&gt; 0, Source!BS29, 1)</f>
        <v>24.82</v>
      </c>
      <c r="L55" s="46">
        <f>Source!R29</f>
        <v>1960.78</v>
      </c>
      <c r="W55">
        <f>J55</f>
        <v>79</v>
      </c>
    </row>
    <row r="56" spans="1:27" ht="14.25" x14ac:dyDescent="0.2">
      <c r="A56" s="40"/>
      <c r="B56" s="40"/>
      <c r="C56" s="41"/>
      <c r="D56" s="41" t="s">
        <v>211</v>
      </c>
      <c r="E56" s="42"/>
      <c r="F56" s="10"/>
      <c r="G56" s="44">
        <f>Source!AL29</f>
        <v>9.1</v>
      </c>
      <c r="H56" s="43" t="str">
        <f>Source!DD29</f>
        <v/>
      </c>
      <c r="I56" s="10">
        <f>Source!AW29</f>
        <v>1</v>
      </c>
      <c r="J56" s="45">
        <f>ROUND((ROUND((Source!AC29*Source!AW29*Source!I29),2)),2)</f>
        <v>72.8</v>
      </c>
      <c r="K56" s="10">
        <f>IF(Source!BC29&lt;&gt; 0, Source!BC29, 1)</f>
        <v>5.29</v>
      </c>
      <c r="L56" s="45">
        <f>Source!P29</f>
        <v>385.11</v>
      </c>
    </row>
    <row r="57" spans="1:27" ht="14.25" x14ac:dyDescent="0.2">
      <c r="A57" s="40"/>
      <c r="B57" s="40"/>
      <c r="C57" s="41"/>
      <c r="D57" s="41" t="s">
        <v>205</v>
      </c>
      <c r="E57" s="42" t="s">
        <v>206</v>
      </c>
      <c r="F57" s="10">
        <f>Source!DN29</f>
        <v>114</v>
      </c>
      <c r="G57" s="44"/>
      <c r="H57" s="43"/>
      <c r="I57" s="10"/>
      <c r="J57" s="45">
        <f>SUM(Q52:Q56)</f>
        <v>3123.44</v>
      </c>
      <c r="K57" s="10">
        <f>Source!BZ29</f>
        <v>77</v>
      </c>
      <c r="L57" s="45">
        <f>SUM(R52:R56)</f>
        <v>52362.559999999998</v>
      </c>
    </row>
    <row r="58" spans="1:27" ht="14.25" x14ac:dyDescent="0.2">
      <c r="A58" s="40"/>
      <c r="B58" s="40"/>
      <c r="C58" s="41"/>
      <c r="D58" s="41" t="s">
        <v>207</v>
      </c>
      <c r="E58" s="42" t="s">
        <v>206</v>
      </c>
      <c r="F58" s="10">
        <f>Source!DO29</f>
        <v>67</v>
      </c>
      <c r="G58" s="44"/>
      <c r="H58" s="43"/>
      <c r="I58" s="10"/>
      <c r="J58" s="45">
        <f>SUM(S52:S57)</f>
        <v>1835.71</v>
      </c>
      <c r="K58" s="10">
        <f>Source!CA29</f>
        <v>41</v>
      </c>
      <c r="L58" s="45">
        <f>SUM(T52:T57)</f>
        <v>27881.37</v>
      </c>
    </row>
    <row r="59" spans="1:27" ht="14.25" x14ac:dyDescent="0.2">
      <c r="A59" s="40"/>
      <c r="B59" s="40"/>
      <c r="C59" s="41"/>
      <c r="D59" s="41" t="s">
        <v>208</v>
      </c>
      <c r="E59" s="42" t="s">
        <v>206</v>
      </c>
      <c r="F59" s="10">
        <f>175</f>
        <v>175</v>
      </c>
      <c r="G59" s="44"/>
      <c r="H59" s="43"/>
      <c r="I59" s="10"/>
      <c r="J59" s="45">
        <f>SUM(U52:U58)</f>
        <v>138.25</v>
      </c>
      <c r="K59" s="10">
        <f>157</f>
        <v>157</v>
      </c>
      <c r="L59" s="45">
        <f>SUM(V52:V58)</f>
        <v>3078.42</v>
      </c>
    </row>
    <row r="60" spans="1:27" ht="14.25" x14ac:dyDescent="0.2">
      <c r="A60" s="40"/>
      <c r="B60" s="40"/>
      <c r="C60" s="41"/>
      <c r="D60" s="41" t="s">
        <v>209</v>
      </c>
      <c r="E60" s="42" t="s">
        <v>210</v>
      </c>
      <c r="F60" s="10">
        <f>Source!AQ29</f>
        <v>21.6</v>
      </c>
      <c r="G60" s="44"/>
      <c r="H60" s="43" t="str">
        <f>Source!DI29</f>
        <v>)*1,2</v>
      </c>
      <c r="I60" s="10">
        <f>Source!AV29</f>
        <v>1.0469999999999999</v>
      </c>
      <c r="J60" s="45">
        <f>Source!U29</f>
        <v>217.10592</v>
      </c>
      <c r="K60" s="10"/>
      <c r="L60" s="45"/>
    </row>
    <row r="61" spans="1:27" ht="15" x14ac:dyDescent="0.25">
      <c r="A61" s="50"/>
      <c r="B61" s="50"/>
      <c r="C61" s="50"/>
      <c r="D61" s="50"/>
      <c r="E61" s="50"/>
      <c r="F61" s="50"/>
      <c r="G61" s="50"/>
      <c r="H61" s="50"/>
      <c r="I61" s="51">
        <f>J53+J54+J56+J57+J58+J59</f>
        <v>8250.39</v>
      </c>
      <c r="J61" s="51"/>
      <c r="K61" s="51">
        <f>L53+L54+L56+L57+L58+L59</f>
        <v>154749.94</v>
      </c>
      <c r="L61" s="51"/>
      <c r="O61" s="47">
        <f>J53+J54+J56+J57+J58+J59</f>
        <v>8250.39</v>
      </c>
      <c r="P61" s="47">
        <f>L53+L54+L56+L57+L58+L59</f>
        <v>154749.94</v>
      </c>
      <c r="X61">
        <f>IF(Source!BI29&lt;=1,J53+J54+J56+J57+J58+J59-0, 0)</f>
        <v>0</v>
      </c>
      <c r="Y61">
        <f>IF(Source!BI29=2,J53+J54+J56+J57+J58+J59-0, 0)</f>
        <v>8250.39</v>
      </c>
      <c r="Z61">
        <f>IF(Source!BI29=3,J53+J54+J56+J57+J58+J59-0, 0)</f>
        <v>0</v>
      </c>
      <c r="AA61">
        <f>IF(Source!BI29=4,J53+J54+J56+J57+J58+J59,0)</f>
        <v>0</v>
      </c>
    </row>
    <row r="62" spans="1:27" ht="42.75" x14ac:dyDescent="0.2">
      <c r="A62" s="40">
        <v>3</v>
      </c>
      <c r="B62" s="40" t="str">
        <f>Source!E30</f>
        <v>3</v>
      </c>
      <c r="C62" s="41" t="str">
        <f>Source!F30</f>
        <v>4.8-64-3</v>
      </c>
      <c r="D62" s="41" t="s">
        <v>40</v>
      </c>
      <c r="E62" s="42" t="str">
        <f>Source!H30</f>
        <v>т</v>
      </c>
      <c r="F62" s="10">
        <f>Source!I30</f>
        <v>0.42</v>
      </c>
      <c r="G62" s="44"/>
      <c r="H62" s="43"/>
      <c r="I62" s="10"/>
      <c r="J62" s="45"/>
      <c r="K62" s="10"/>
      <c r="L62" s="45"/>
      <c r="Q62">
        <f>ROUND((Source!DN30/100)*ROUND((ROUND((Source!AF30*Source!AV30*Source!I30),2)),2), 2)</f>
        <v>406.91</v>
      </c>
      <c r="R62">
        <f>Source!X30</f>
        <v>6821.62</v>
      </c>
      <c r="S62">
        <f>ROUND((Source!DO30/100)*ROUND((ROUND((Source!AF30*Source!AV30*Source!I30),2)),2), 2)</f>
        <v>239.15</v>
      </c>
      <c r="T62">
        <f>Source!Y30</f>
        <v>3632.29</v>
      </c>
      <c r="U62">
        <f>ROUND((175/100)*ROUND((ROUND((Source!AE30*Source!AV30*Source!I30),2)),2), 2)</f>
        <v>61.39</v>
      </c>
      <c r="V62">
        <f>ROUND((157/100)*ROUND(ROUND((ROUND((Source!AE30*Source!AV30*Source!I30),2)*Source!BS30),2), 2), 2)</f>
        <v>1366.98</v>
      </c>
    </row>
    <row r="63" spans="1:27" ht="14.25" x14ac:dyDescent="0.2">
      <c r="A63" s="40"/>
      <c r="B63" s="40"/>
      <c r="C63" s="41"/>
      <c r="D63" s="41" t="s">
        <v>202</v>
      </c>
      <c r="E63" s="42"/>
      <c r="F63" s="10"/>
      <c r="G63" s="44">
        <f>Source!AO30</f>
        <v>676.43</v>
      </c>
      <c r="H63" s="43" t="str">
        <f>Source!DG30</f>
        <v>)*1,2</v>
      </c>
      <c r="I63" s="10">
        <f>Source!AV30</f>
        <v>1.0469999999999999</v>
      </c>
      <c r="J63" s="45">
        <f>ROUND((ROUND((Source!AF30*Source!AV30*Source!I30),2)),2)</f>
        <v>356.94</v>
      </c>
      <c r="K63" s="10">
        <f>IF(Source!BA30&lt;&gt; 0, Source!BA30, 1)</f>
        <v>24.82</v>
      </c>
      <c r="L63" s="45">
        <f>Source!S30</f>
        <v>8859.25</v>
      </c>
      <c r="W63">
        <f>J63</f>
        <v>356.94</v>
      </c>
    </row>
    <row r="64" spans="1:27" ht="14.25" x14ac:dyDescent="0.2">
      <c r="A64" s="40"/>
      <c r="B64" s="40"/>
      <c r="C64" s="41"/>
      <c r="D64" s="41" t="s">
        <v>203</v>
      </c>
      <c r="E64" s="42"/>
      <c r="F64" s="10"/>
      <c r="G64" s="44">
        <f>Source!AM30</f>
        <v>702.69</v>
      </c>
      <c r="H64" s="43" t="str">
        <f>Source!DE30</f>
        <v>)*1,2</v>
      </c>
      <c r="I64" s="10">
        <f>Source!AV30</f>
        <v>1.0469999999999999</v>
      </c>
      <c r="J64" s="45">
        <f>(ROUND((ROUND((((Source!ET30*1.2))*Source!AV30*Source!I30),2)),2)+ROUND((ROUND(((Source!AE30-((Source!EU30*1.2)))*Source!AV30*Source!I30),2)),2))</f>
        <v>370.8</v>
      </c>
      <c r="K64" s="10">
        <f>IF(Source!BB30&lt;&gt; 0, Source!BB30, 1)</f>
        <v>8.2100000000000009</v>
      </c>
      <c r="L64" s="45">
        <f>Source!Q30</f>
        <v>3044.27</v>
      </c>
    </row>
    <row r="65" spans="1:27" ht="14.25" x14ac:dyDescent="0.2">
      <c r="A65" s="40"/>
      <c r="B65" s="40"/>
      <c r="C65" s="41"/>
      <c r="D65" s="41" t="s">
        <v>204</v>
      </c>
      <c r="E65" s="42"/>
      <c r="F65" s="10"/>
      <c r="G65" s="44">
        <f>Source!AN30</f>
        <v>66.48</v>
      </c>
      <c r="H65" s="43" t="str">
        <f>Source!DF30</f>
        <v>)*1,2</v>
      </c>
      <c r="I65" s="10">
        <f>Source!AV30</f>
        <v>1.0469999999999999</v>
      </c>
      <c r="J65" s="46">
        <f>ROUND((ROUND((Source!AE30*Source!AV30*Source!I30),2)),2)</f>
        <v>35.08</v>
      </c>
      <c r="K65" s="10">
        <f>IF(Source!BS30&lt;&gt; 0, Source!BS30, 1)</f>
        <v>24.82</v>
      </c>
      <c r="L65" s="46">
        <f>Source!R30</f>
        <v>870.69</v>
      </c>
      <c r="W65">
        <f>J65</f>
        <v>35.08</v>
      </c>
    </row>
    <row r="66" spans="1:27" ht="14.25" x14ac:dyDescent="0.2">
      <c r="A66" s="40"/>
      <c r="B66" s="40"/>
      <c r="C66" s="41"/>
      <c r="D66" s="41" t="s">
        <v>211</v>
      </c>
      <c r="E66" s="42"/>
      <c r="F66" s="10"/>
      <c r="G66" s="44">
        <f>Source!AL30</f>
        <v>5453</v>
      </c>
      <c r="H66" s="43" t="str">
        <f>Source!DD30</f>
        <v/>
      </c>
      <c r="I66" s="10">
        <f>Source!AW30</f>
        <v>1</v>
      </c>
      <c r="J66" s="45">
        <f>ROUND((ROUND((Source!AC30*Source!AW30*Source!I30),2)),2)</f>
        <v>2290.2600000000002</v>
      </c>
      <c r="K66" s="10">
        <f>IF(Source!BC30&lt;&gt; 0, Source!BC30, 1)</f>
        <v>5.29</v>
      </c>
      <c r="L66" s="45">
        <f>Source!P30</f>
        <v>12115.48</v>
      </c>
    </row>
    <row r="67" spans="1:27" ht="14.25" x14ac:dyDescent="0.2">
      <c r="A67" s="40"/>
      <c r="B67" s="40"/>
      <c r="C67" s="41"/>
      <c r="D67" s="41" t="s">
        <v>205</v>
      </c>
      <c r="E67" s="42" t="s">
        <v>206</v>
      </c>
      <c r="F67" s="10">
        <f>Source!DN30</f>
        <v>114</v>
      </c>
      <c r="G67" s="44"/>
      <c r="H67" s="43"/>
      <c r="I67" s="10"/>
      <c r="J67" s="45">
        <f>SUM(Q62:Q66)</f>
        <v>406.91</v>
      </c>
      <c r="K67" s="10">
        <f>Source!BZ30</f>
        <v>77</v>
      </c>
      <c r="L67" s="45">
        <f>SUM(R62:R66)</f>
        <v>6821.62</v>
      </c>
    </row>
    <row r="68" spans="1:27" ht="14.25" x14ac:dyDescent="0.2">
      <c r="A68" s="40"/>
      <c r="B68" s="40"/>
      <c r="C68" s="41"/>
      <c r="D68" s="41" t="s">
        <v>207</v>
      </c>
      <c r="E68" s="42" t="s">
        <v>206</v>
      </c>
      <c r="F68" s="10">
        <f>Source!DO30</f>
        <v>67</v>
      </c>
      <c r="G68" s="44"/>
      <c r="H68" s="43"/>
      <c r="I68" s="10"/>
      <c r="J68" s="45">
        <f>SUM(S62:S67)</f>
        <v>239.15</v>
      </c>
      <c r="K68" s="10">
        <f>Source!CA30</f>
        <v>41</v>
      </c>
      <c r="L68" s="45">
        <f>SUM(T62:T67)</f>
        <v>3632.29</v>
      </c>
    </row>
    <row r="69" spans="1:27" ht="14.25" x14ac:dyDescent="0.2">
      <c r="A69" s="40"/>
      <c r="B69" s="40"/>
      <c r="C69" s="41"/>
      <c r="D69" s="41" t="s">
        <v>208</v>
      </c>
      <c r="E69" s="42" t="s">
        <v>206</v>
      </c>
      <c r="F69" s="10">
        <f>175</f>
        <v>175</v>
      </c>
      <c r="G69" s="44"/>
      <c r="H69" s="43"/>
      <c r="I69" s="10"/>
      <c r="J69" s="45">
        <f>SUM(U62:U68)</f>
        <v>61.39</v>
      </c>
      <c r="K69" s="10">
        <f>157</f>
        <v>157</v>
      </c>
      <c r="L69" s="45">
        <f>SUM(V62:V68)</f>
        <v>1366.98</v>
      </c>
    </row>
    <row r="70" spans="1:27" ht="14.25" x14ac:dyDescent="0.2">
      <c r="A70" s="40"/>
      <c r="B70" s="40"/>
      <c r="C70" s="41"/>
      <c r="D70" s="41" t="s">
        <v>209</v>
      </c>
      <c r="E70" s="42" t="s">
        <v>210</v>
      </c>
      <c r="F70" s="10">
        <f>Source!AQ30</f>
        <v>53.6</v>
      </c>
      <c r="G70" s="44"/>
      <c r="H70" s="43" t="str">
        <f>Source!DI30</f>
        <v>)*1,2</v>
      </c>
      <c r="I70" s="10">
        <f>Source!AV30</f>
        <v>1.0469999999999999</v>
      </c>
      <c r="J70" s="45">
        <f>Source!U30</f>
        <v>28.284076799999994</v>
      </c>
      <c r="K70" s="10"/>
      <c r="L70" s="45"/>
    </row>
    <row r="71" spans="1:27" ht="15" x14ac:dyDescent="0.25">
      <c r="A71" s="50"/>
      <c r="B71" s="50"/>
      <c r="C71" s="50"/>
      <c r="D71" s="50"/>
      <c r="E71" s="50"/>
      <c r="F71" s="50"/>
      <c r="G71" s="50"/>
      <c r="H71" s="50"/>
      <c r="I71" s="51">
        <f>J63+J64+J66+J67+J68+J69</f>
        <v>3725.45</v>
      </c>
      <c r="J71" s="51"/>
      <c r="K71" s="51">
        <f>L63+L64+L66+L67+L68+L69</f>
        <v>35839.89</v>
      </c>
      <c r="L71" s="51"/>
      <c r="O71" s="47">
        <f>J63+J64+J66+J67+J68+J69</f>
        <v>3725.45</v>
      </c>
      <c r="P71" s="47">
        <f>L63+L64+L66+L67+L68+L69</f>
        <v>35839.89</v>
      </c>
      <c r="X71">
        <f>IF(Source!BI30&lt;=1,J63+J64+J66+J67+J68+J69-0, 0)</f>
        <v>0</v>
      </c>
      <c r="Y71">
        <f>IF(Source!BI30=2,J63+J64+J66+J67+J68+J69-0, 0)</f>
        <v>3725.45</v>
      </c>
      <c r="Z71">
        <f>IF(Source!BI30=3,J63+J64+J66+J67+J68+J69-0, 0)</f>
        <v>0</v>
      </c>
      <c r="AA71">
        <f>IF(Source!BI30=4,J63+J64+J66+J67+J68+J69,0)</f>
        <v>0</v>
      </c>
    </row>
    <row r="72" spans="1:27" ht="57" x14ac:dyDescent="0.2">
      <c r="A72" s="40">
        <v>4</v>
      </c>
      <c r="B72" s="40" t="str">
        <f>Source!E31</f>
        <v>4</v>
      </c>
      <c r="C72" s="41" t="str">
        <f>Source!F31</f>
        <v>4.8-56-3</v>
      </c>
      <c r="D72" s="41" t="s">
        <v>45</v>
      </c>
      <c r="E72" s="42" t="str">
        <f>Source!H31</f>
        <v>шт.</v>
      </c>
      <c r="F72" s="10">
        <f>Source!I31</f>
        <v>3</v>
      </c>
      <c r="G72" s="44"/>
      <c r="H72" s="43"/>
      <c r="I72" s="10"/>
      <c r="J72" s="45"/>
      <c r="K72" s="10"/>
      <c r="L72" s="45"/>
      <c r="Q72">
        <f>ROUND((Source!DN31/100)*ROUND((ROUND((Source!AF31*Source!AV31*Source!I31),2)),2), 2)</f>
        <v>1339.39</v>
      </c>
      <c r="R72">
        <f>Source!X31</f>
        <v>22453.99</v>
      </c>
      <c r="S72">
        <f>ROUND((Source!DO31/100)*ROUND((ROUND((Source!AF31*Source!AV31*Source!I31),2)),2), 2)</f>
        <v>787.18</v>
      </c>
      <c r="T72">
        <f>Source!Y31</f>
        <v>11956.02</v>
      </c>
      <c r="U72">
        <f>ROUND((175/100)*ROUND((ROUND((Source!AE31*Source!AV31*Source!I31),2)),2), 2)</f>
        <v>48.74</v>
      </c>
      <c r="V72">
        <f>ROUND((157/100)*ROUND(ROUND((ROUND((Source!AE31*Source!AV31*Source!I31),2)*Source!BS31),2), 2), 2)</f>
        <v>1085.25</v>
      </c>
    </row>
    <row r="73" spans="1:27" ht="14.25" x14ac:dyDescent="0.2">
      <c r="A73" s="40"/>
      <c r="B73" s="40"/>
      <c r="C73" s="41"/>
      <c r="D73" s="41" t="s">
        <v>202</v>
      </c>
      <c r="E73" s="42"/>
      <c r="F73" s="10"/>
      <c r="G73" s="44">
        <f>Source!AO31</f>
        <v>311.70999999999998</v>
      </c>
      <c r="H73" s="43" t="str">
        <f>Source!DG31</f>
        <v>)*1,2</v>
      </c>
      <c r="I73" s="10">
        <f>Source!AV31</f>
        <v>1.0469999999999999</v>
      </c>
      <c r="J73" s="45">
        <f>ROUND((ROUND((Source!AF31*Source!AV31*Source!I31),2)),2)</f>
        <v>1174.9000000000001</v>
      </c>
      <c r="K73" s="10">
        <f>IF(Source!BA31&lt;&gt; 0, Source!BA31, 1)</f>
        <v>24.82</v>
      </c>
      <c r="L73" s="45">
        <f>Source!S31</f>
        <v>29161.02</v>
      </c>
      <c r="W73">
        <f>J73</f>
        <v>1174.9000000000001</v>
      </c>
    </row>
    <row r="74" spans="1:27" ht="14.25" x14ac:dyDescent="0.2">
      <c r="A74" s="40"/>
      <c r="B74" s="40"/>
      <c r="C74" s="41"/>
      <c r="D74" s="41" t="s">
        <v>203</v>
      </c>
      <c r="E74" s="42"/>
      <c r="F74" s="10"/>
      <c r="G74" s="44">
        <f>Source!AM31</f>
        <v>54.52</v>
      </c>
      <c r="H74" s="43" t="str">
        <f>Source!DE31</f>
        <v>)*1,2</v>
      </c>
      <c r="I74" s="10">
        <f>Source!AV31</f>
        <v>1.0469999999999999</v>
      </c>
      <c r="J74" s="45">
        <f>(ROUND((ROUND((((Source!ET31*1.2))*Source!AV31*Source!I31),2)),2)+ROUND((ROUND(((Source!AE31-((Source!EU31*1.2)))*Source!AV31*Source!I31),2)),2))</f>
        <v>205.5</v>
      </c>
      <c r="K74" s="10">
        <f>IF(Source!BB31&lt;&gt; 0, Source!BB31, 1)</f>
        <v>7.47</v>
      </c>
      <c r="L74" s="45">
        <f>Source!Q31</f>
        <v>1535.09</v>
      </c>
    </row>
    <row r="75" spans="1:27" ht="14.25" x14ac:dyDescent="0.2">
      <c r="A75" s="40"/>
      <c r="B75" s="40"/>
      <c r="C75" s="41"/>
      <c r="D75" s="41" t="s">
        <v>204</v>
      </c>
      <c r="E75" s="42"/>
      <c r="F75" s="10"/>
      <c r="G75" s="44">
        <f>Source!AN31</f>
        <v>7.39</v>
      </c>
      <c r="H75" s="43" t="str">
        <f>Source!DF31</f>
        <v>)*1,2</v>
      </c>
      <c r="I75" s="10">
        <f>Source!AV31</f>
        <v>1.0469999999999999</v>
      </c>
      <c r="J75" s="46">
        <f>ROUND((ROUND((Source!AE31*Source!AV31*Source!I31),2)),2)</f>
        <v>27.85</v>
      </c>
      <c r="K75" s="10">
        <f>IF(Source!BS31&lt;&gt; 0, Source!BS31, 1)</f>
        <v>24.82</v>
      </c>
      <c r="L75" s="46">
        <f>Source!R31</f>
        <v>691.24</v>
      </c>
      <c r="W75">
        <f>J75</f>
        <v>27.85</v>
      </c>
    </row>
    <row r="76" spans="1:27" ht="14.25" x14ac:dyDescent="0.2">
      <c r="A76" s="40"/>
      <c r="B76" s="40"/>
      <c r="C76" s="41"/>
      <c r="D76" s="41" t="s">
        <v>211</v>
      </c>
      <c r="E76" s="42"/>
      <c r="F76" s="10"/>
      <c r="G76" s="44">
        <f>Source!AL31</f>
        <v>114.8</v>
      </c>
      <c r="H76" s="43" t="str">
        <f>Source!DD31</f>
        <v/>
      </c>
      <c r="I76" s="10">
        <f>Source!AW31</f>
        <v>1</v>
      </c>
      <c r="J76" s="45">
        <f>ROUND((ROUND((Source!AC31*Source!AW31*Source!I31),2)),2)</f>
        <v>344.4</v>
      </c>
      <c r="K76" s="10">
        <f>IF(Source!BC31&lt;&gt; 0, Source!BC31, 1)</f>
        <v>5.29</v>
      </c>
      <c r="L76" s="45">
        <f>Source!P31</f>
        <v>1821.88</v>
      </c>
    </row>
    <row r="77" spans="1:27" ht="14.25" x14ac:dyDescent="0.2">
      <c r="A77" s="40"/>
      <c r="B77" s="40"/>
      <c r="C77" s="41"/>
      <c r="D77" s="41" t="s">
        <v>205</v>
      </c>
      <c r="E77" s="42" t="s">
        <v>206</v>
      </c>
      <c r="F77" s="10">
        <f>Source!DN31</f>
        <v>114</v>
      </c>
      <c r="G77" s="44"/>
      <c r="H77" s="43"/>
      <c r="I77" s="10"/>
      <c r="J77" s="45">
        <f>SUM(Q72:Q76)</f>
        <v>1339.39</v>
      </c>
      <c r="K77" s="10">
        <f>Source!BZ31</f>
        <v>77</v>
      </c>
      <c r="L77" s="45">
        <f>SUM(R72:R76)</f>
        <v>22453.99</v>
      </c>
    </row>
    <row r="78" spans="1:27" ht="14.25" x14ac:dyDescent="0.2">
      <c r="A78" s="40"/>
      <c r="B78" s="40"/>
      <c r="C78" s="41"/>
      <c r="D78" s="41" t="s">
        <v>207</v>
      </c>
      <c r="E78" s="42" t="s">
        <v>206</v>
      </c>
      <c r="F78" s="10">
        <f>Source!DO31</f>
        <v>67</v>
      </c>
      <c r="G78" s="44"/>
      <c r="H78" s="43"/>
      <c r="I78" s="10"/>
      <c r="J78" s="45">
        <f>SUM(S72:S77)</f>
        <v>787.18</v>
      </c>
      <c r="K78" s="10">
        <f>Source!CA31</f>
        <v>41</v>
      </c>
      <c r="L78" s="45">
        <f>SUM(T72:T77)</f>
        <v>11956.02</v>
      </c>
    </row>
    <row r="79" spans="1:27" ht="14.25" x14ac:dyDescent="0.2">
      <c r="A79" s="40"/>
      <c r="B79" s="40"/>
      <c r="C79" s="41"/>
      <c r="D79" s="41" t="s">
        <v>208</v>
      </c>
      <c r="E79" s="42" t="s">
        <v>206</v>
      </c>
      <c r="F79" s="10">
        <f>175</f>
        <v>175</v>
      </c>
      <c r="G79" s="44"/>
      <c r="H79" s="43"/>
      <c r="I79" s="10"/>
      <c r="J79" s="45">
        <f>SUM(U72:U78)</f>
        <v>48.74</v>
      </c>
      <c r="K79" s="10">
        <f>157</f>
        <v>157</v>
      </c>
      <c r="L79" s="45">
        <f>SUM(V72:V78)</f>
        <v>1085.25</v>
      </c>
    </row>
    <row r="80" spans="1:27" ht="14.25" x14ac:dyDescent="0.2">
      <c r="A80" s="40"/>
      <c r="B80" s="40"/>
      <c r="C80" s="41"/>
      <c r="D80" s="41" t="s">
        <v>209</v>
      </c>
      <c r="E80" s="42" t="s">
        <v>210</v>
      </c>
      <c r="F80" s="10">
        <f>Source!AQ31</f>
        <v>24.7</v>
      </c>
      <c r="G80" s="44"/>
      <c r="H80" s="43" t="str">
        <f>Source!DI31</f>
        <v>)*1,2</v>
      </c>
      <c r="I80" s="10">
        <f>Source!AV31</f>
        <v>1.0469999999999999</v>
      </c>
      <c r="J80" s="45">
        <f>Source!U31</f>
        <v>93.09923999999998</v>
      </c>
      <c r="K80" s="10"/>
      <c r="L80" s="45"/>
    </row>
    <row r="81" spans="1:27" ht="15" x14ac:dyDescent="0.25">
      <c r="A81" s="50"/>
      <c r="B81" s="50"/>
      <c r="C81" s="50"/>
      <c r="D81" s="50"/>
      <c r="E81" s="50"/>
      <c r="F81" s="50"/>
      <c r="G81" s="50"/>
      <c r="H81" s="50"/>
      <c r="I81" s="51">
        <f>J73+J74+J76+J77+J78+J79</f>
        <v>3900.11</v>
      </c>
      <c r="J81" s="51"/>
      <c r="K81" s="51">
        <f>L73+L74+L76+L77+L78+L79</f>
        <v>68013.25</v>
      </c>
      <c r="L81" s="51"/>
      <c r="O81" s="47">
        <f>J73+J74+J76+J77+J78+J79</f>
        <v>3900.11</v>
      </c>
      <c r="P81" s="47">
        <f>L73+L74+L76+L77+L78+L79</f>
        <v>68013.25</v>
      </c>
      <c r="X81">
        <f>IF(Source!BI31&lt;=1,J73+J74+J76+J77+J78+J79-0, 0)</f>
        <v>0</v>
      </c>
      <c r="Y81">
        <f>IF(Source!BI31=2,J73+J74+J76+J77+J78+J79-0, 0)</f>
        <v>3900.11</v>
      </c>
      <c r="Z81">
        <f>IF(Source!BI31=3,J73+J74+J76+J77+J78+J79-0, 0)</f>
        <v>0</v>
      </c>
      <c r="AA81">
        <f>IF(Source!BI31=4,J73+J74+J76+J77+J78+J79,0)</f>
        <v>0</v>
      </c>
    </row>
    <row r="82" spans="1:27" ht="57" x14ac:dyDescent="0.2">
      <c r="A82" s="40">
        <v>5</v>
      </c>
      <c r="B82" s="40" t="str">
        <f>Source!E32</f>
        <v>5</v>
      </c>
      <c r="C82" s="41" t="str">
        <f>Source!F32</f>
        <v>4.8-56-3</v>
      </c>
      <c r="D82" s="41" t="s">
        <v>48</v>
      </c>
      <c r="E82" s="42" t="str">
        <f>Source!H32</f>
        <v>шт.</v>
      </c>
      <c r="F82" s="10">
        <f>Source!I32</f>
        <v>3</v>
      </c>
      <c r="G82" s="44"/>
      <c r="H82" s="43"/>
      <c r="I82" s="10"/>
      <c r="J82" s="45"/>
      <c r="K82" s="10"/>
      <c r="L82" s="45"/>
      <c r="Q82">
        <f>ROUND((Source!DN32/100)*ROUND((ROUND((Source!AF32*Source!AV32*Source!I32),2)),2), 2)</f>
        <v>669.69</v>
      </c>
      <c r="R82">
        <f>Source!X32</f>
        <v>11226.99</v>
      </c>
      <c r="S82">
        <f>ROUND((Source!DO32/100)*ROUND((ROUND((Source!AF32*Source!AV32*Source!I32),2)),2), 2)</f>
        <v>393.59</v>
      </c>
      <c r="T82">
        <f>Source!Y32</f>
        <v>5978.01</v>
      </c>
      <c r="U82">
        <f>ROUND((175/100)*ROUND((ROUND((Source!AE32*Source!AV32*Source!I32),2)),2), 2)</f>
        <v>24.38</v>
      </c>
      <c r="V82">
        <f>ROUND((157/100)*ROUND(ROUND((ROUND((Source!AE32*Source!AV32*Source!I32),2)*Source!BS32),2), 2), 2)</f>
        <v>542.80999999999995</v>
      </c>
    </row>
    <row r="83" spans="1:27" ht="28.5" x14ac:dyDescent="0.2">
      <c r="A83" s="40"/>
      <c r="B83" s="40"/>
      <c r="C83" s="41"/>
      <c r="D83" s="41" t="s">
        <v>202</v>
      </c>
      <c r="E83" s="42"/>
      <c r="F83" s="10"/>
      <c r="G83" s="44">
        <f>Source!AO32</f>
        <v>311.70999999999998</v>
      </c>
      <c r="H83" s="43" t="str">
        <f>Source!DG32</f>
        <v>)*1,2)*0,5</v>
      </c>
      <c r="I83" s="10">
        <f>Source!AV32</f>
        <v>1.0469999999999999</v>
      </c>
      <c r="J83" s="45">
        <f>ROUND((ROUND((Source!AF32*Source!AV32*Source!I32),2)),2)</f>
        <v>587.45000000000005</v>
      </c>
      <c r="K83" s="10">
        <f>IF(Source!BA32&lt;&gt; 0, Source!BA32, 1)</f>
        <v>24.82</v>
      </c>
      <c r="L83" s="45">
        <f>Source!S32</f>
        <v>14580.51</v>
      </c>
      <c r="W83">
        <f>J83</f>
        <v>587.45000000000005</v>
      </c>
    </row>
    <row r="84" spans="1:27" ht="28.5" x14ac:dyDescent="0.2">
      <c r="A84" s="40"/>
      <c r="B84" s="40"/>
      <c r="C84" s="41"/>
      <c r="D84" s="41" t="s">
        <v>203</v>
      </c>
      <c r="E84" s="42"/>
      <c r="F84" s="10"/>
      <c r="G84" s="44">
        <f>Source!AM32</f>
        <v>54.52</v>
      </c>
      <c r="H84" s="43" t="str">
        <f>Source!DE32</f>
        <v>)*1,2)*0,5</v>
      </c>
      <c r="I84" s="10">
        <f>Source!AV32</f>
        <v>1.0469999999999999</v>
      </c>
      <c r="J84" s="45">
        <f>(ROUND((ROUND(((((Source!ET32*1.2)*0.5))*Source!AV32*Source!I32),2)),2)+ROUND((ROUND(((Source!AE32-(((Source!EU32*1.2)*0.5)))*Source!AV32*Source!I32),2)),2))</f>
        <v>102.75</v>
      </c>
      <c r="K84" s="10">
        <f>IF(Source!BB32&lt;&gt; 0, Source!BB32, 1)</f>
        <v>7.47</v>
      </c>
      <c r="L84" s="45">
        <f>Source!Q32</f>
        <v>767.54</v>
      </c>
    </row>
    <row r="85" spans="1:27" ht="28.5" x14ac:dyDescent="0.2">
      <c r="A85" s="40"/>
      <c r="B85" s="40"/>
      <c r="C85" s="41"/>
      <c r="D85" s="41" t="s">
        <v>204</v>
      </c>
      <c r="E85" s="42"/>
      <c r="F85" s="10"/>
      <c r="G85" s="44">
        <f>Source!AN32</f>
        <v>7.39</v>
      </c>
      <c r="H85" s="43" t="str">
        <f>Source!DF32</f>
        <v>)*1,2)*0,5</v>
      </c>
      <c r="I85" s="10">
        <f>Source!AV32</f>
        <v>1.0469999999999999</v>
      </c>
      <c r="J85" s="46">
        <f>ROUND((ROUND((Source!AE32*Source!AV32*Source!I32),2)),2)</f>
        <v>13.93</v>
      </c>
      <c r="K85" s="10">
        <f>IF(Source!BS32&lt;&gt; 0, Source!BS32, 1)</f>
        <v>24.82</v>
      </c>
      <c r="L85" s="46">
        <f>Source!R32</f>
        <v>345.74</v>
      </c>
      <c r="W85">
        <f>J85</f>
        <v>13.93</v>
      </c>
    </row>
    <row r="86" spans="1:27" ht="14.25" x14ac:dyDescent="0.2">
      <c r="A86" s="40"/>
      <c r="B86" s="40"/>
      <c r="C86" s="41"/>
      <c r="D86" s="41" t="s">
        <v>205</v>
      </c>
      <c r="E86" s="42" t="s">
        <v>206</v>
      </c>
      <c r="F86" s="10">
        <f>Source!DN32</f>
        <v>114</v>
      </c>
      <c r="G86" s="44"/>
      <c r="H86" s="43"/>
      <c r="I86" s="10"/>
      <c r="J86" s="45">
        <f>SUM(Q82:Q85)</f>
        <v>669.69</v>
      </c>
      <c r="K86" s="10">
        <f>Source!BZ32</f>
        <v>77</v>
      </c>
      <c r="L86" s="45">
        <f>SUM(R82:R85)</f>
        <v>11226.99</v>
      </c>
    </row>
    <row r="87" spans="1:27" ht="14.25" x14ac:dyDescent="0.2">
      <c r="A87" s="40"/>
      <c r="B87" s="40"/>
      <c r="C87" s="41"/>
      <c r="D87" s="41" t="s">
        <v>207</v>
      </c>
      <c r="E87" s="42" t="s">
        <v>206</v>
      </c>
      <c r="F87" s="10">
        <f>Source!DO32</f>
        <v>67</v>
      </c>
      <c r="G87" s="44"/>
      <c r="H87" s="43"/>
      <c r="I87" s="10"/>
      <c r="J87" s="45">
        <f>SUM(S82:S86)</f>
        <v>393.59</v>
      </c>
      <c r="K87" s="10">
        <f>Source!CA32</f>
        <v>41</v>
      </c>
      <c r="L87" s="45">
        <f>SUM(T82:T86)</f>
        <v>5978.01</v>
      </c>
    </row>
    <row r="88" spans="1:27" ht="14.25" x14ac:dyDescent="0.2">
      <c r="A88" s="40"/>
      <c r="B88" s="40"/>
      <c r="C88" s="41"/>
      <c r="D88" s="41" t="s">
        <v>208</v>
      </c>
      <c r="E88" s="42" t="s">
        <v>206</v>
      </c>
      <c r="F88" s="10">
        <f>175</f>
        <v>175</v>
      </c>
      <c r="G88" s="44"/>
      <c r="H88" s="43"/>
      <c r="I88" s="10"/>
      <c r="J88" s="45">
        <f>SUM(U82:U87)</f>
        <v>24.38</v>
      </c>
      <c r="K88" s="10">
        <f>157</f>
        <v>157</v>
      </c>
      <c r="L88" s="45">
        <f>SUM(V82:V87)</f>
        <v>542.80999999999995</v>
      </c>
    </row>
    <row r="89" spans="1:27" ht="28.5" x14ac:dyDescent="0.2">
      <c r="A89" s="40"/>
      <c r="B89" s="40"/>
      <c r="C89" s="41"/>
      <c r="D89" s="41" t="s">
        <v>209</v>
      </c>
      <c r="E89" s="42" t="s">
        <v>210</v>
      </c>
      <c r="F89" s="10">
        <f>Source!AQ32</f>
        <v>24.7</v>
      </c>
      <c r="G89" s="44"/>
      <c r="H89" s="43" t="str">
        <f>Source!DI32</f>
        <v>)*1,2)*0,5</v>
      </c>
      <c r="I89" s="10">
        <f>Source!AV32</f>
        <v>1.0469999999999999</v>
      </c>
      <c r="J89" s="45">
        <f>Source!U32</f>
        <v>46.54961999999999</v>
      </c>
      <c r="K89" s="10"/>
      <c r="L89" s="45"/>
    </row>
    <row r="90" spans="1:27" ht="15" x14ac:dyDescent="0.25">
      <c r="A90" s="50"/>
      <c r="B90" s="50"/>
      <c r="C90" s="50"/>
      <c r="D90" s="50"/>
      <c r="E90" s="50"/>
      <c r="F90" s="50"/>
      <c r="G90" s="50"/>
      <c r="H90" s="50"/>
      <c r="I90" s="51">
        <f>J83+J84+J86+J87+J88</f>
        <v>1777.8600000000001</v>
      </c>
      <c r="J90" s="51"/>
      <c r="K90" s="51">
        <f>L83+L84+L86+L87+L88</f>
        <v>33095.86</v>
      </c>
      <c r="L90" s="51"/>
      <c r="O90" s="47">
        <f>J83+J84+J86+J87+J88</f>
        <v>1777.8600000000001</v>
      </c>
      <c r="P90" s="47">
        <f>L83+L84+L86+L87+L88</f>
        <v>33095.86</v>
      </c>
      <c r="X90">
        <f>IF(Source!BI32&lt;=1,J83+J84+J86+J87+J88-0, 0)</f>
        <v>0</v>
      </c>
      <c r="Y90">
        <f>IF(Source!BI32=2,J83+J84+J86+J87+J88-0, 0)</f>
        <v>1777.8600000000001</v>
      </c>
      <c r="Z90">
        <f>IF(Source!BI32=3,J83+J84+J86+J87+J88-0, 0)</f>
        <v>0</v>
      </c>
      <c r="AA90">
        <f>IF(Source!BI32=4,J83+J84+J86+J87+J88,0)</f>
        <v>0</v>
      </c>
    </row>
    <row r="91" spans="1:27" ht="28.5" x14ac:dyDescent="0.2">
      <c r="A91" s="40">
        <v>6</v>
      </c>
      <c r="B91" s="40" t="str">
        <f>Source!E33</f>
        <v>6</v>
      </c>
      <c r="C91" s="41" t="str">
        <f>Source!F33</f>
        <v>4.8-47-2</v>
      </c>
      <c r="D91" s="41" t="s">
        <v>51</v>
      </c>
      <c r="E91" s="42" t="str">
        <f>Source!H33</f>
        <v>100 м</v>
      </c>
      <c r="F91" s="10">
        <f>Source!I33</f>
        <v>0.36</v>
      </c>
      <c r="G91" s="44"/>
      <c r="H91" s="43"/>
      <c r="I91" s="10"/>
      <c r="J91" s="45"/>
      <c r="K91" s="10"/>
      <c r="L91" s="45"/>
      <c r="Q91">
        <f>ROUND((Source!DN33/100)*ROUND((ROUND((Source!AF33*Source!AV33*Source!I33),2)),2), 2)</f>
        <v>361.8</v>
      </c>
      <c r="R91">
        <f>Source!X33</f>
        <v>6065.38</v>
      </c>
      <c r="S91">
        <f>ROUND((Source!DO33/100)*ROUND((ROUND((Source!AF33*Source!AV33*Source!I33),2)),2), 2)</f>
        <v>212.64</v>
      </c>
      <c r="T91">
        <f>Source!Y33</f>
        <v>3229.62</v>
      </c>
      <c r="U91">
        <f>ROUND((175/100)*ROUND((ROUND((Source!AE33*Source!AV33*Source!I33),2)),2), 2)</f>
        <v>96.08</v>
      </c>
      <c r="V91">
        <f>ROUND((157/100)*ROUND(ROUND((ROUND((Source!AE33*Source!AV33*Source!I33),2)*Source!BS33),2), 2), 2)</f>
        <v>2139.31</v>
      </c>
    </row>
    <row r="92" spans="1:27" x14ac:dyDescent="0.2">
      <c r="D92" s="52" t="str">
        <f>"Объем: "&amp;Source!I33&amp;"=36/"&amp;"100"</f>
        <v>Объем: 0,36=36/100</v>
      </c>
    </row>
    <row r="93" spans="1:27" ht="14.25" x14ac:dyDescent="0.2">
      <c r="A93" s="40"/>
      <c r="B93" s="40"/>
      <c r="C93" s="41"/>
      <c r="D93" s="41" t="s">
        <v>202</v>
      </c>
      <c r="E93" s="42"/>
      <c r="F93" s="10"/>
      <c r="G93" s="44">
        <f>Source!AO33</f>
        <v>701.67</v>
      </c>
      <c r="H93" s="43" t="str">
        <f>Source!DG33</f>
        <v>)*1,2</v>
      </c>
      <c r="I93" s="10">
        <f>Source!AV33</f>
        <v>1.0469999999999999</v>
      </c>
      <c r="J93" s="45">
        <f>ROUND((ROUND((Source!AF33*Source!AV33*Source!I33),2)),2)</f>
        <v>317.37</v>
      </c>
      <c r="K93" s="10">
        <f>IF(Source!BA33&lt;&gt; 0, Source!BA33, 1)</f>
        <v>24.82</v>
      </c>
      <c r="L93" s="45">
        <f>Source!S33</f>
        <v>7877.12</v>
      </c>
      <c r="W93">
        <f>J93</f>
        <v>317.37</v>
      </c>
    </row>
    <row r="94" spans="1:27" ht="14.25" x14ac:dyDescent="0.2">
      <c r="A94" s="40"/>
      <c r="B94" s="40"/>
      <c r="C94" s="41"/>
      <c r="D94" s="41" t="s">
        <v>203</v>
      </c>
      <c r="E94" s="42"/>
      <c r="F94" s="10"/>
      <c r="G94" s="44">
        <f>Source!AM33</f>
        <v>523.13</v>
      </c>
      <c r="H94" s="43" t="str">
        <f>Source!DE33</f>
        <v>)*1,2</v>
      </c>
      <c r="I94" s="10">
        <f>Source!AV33</f>
        <v>1.0469999999999999</v>
      </c>
      <c r="J94" s="45">
        <f>(ROUND((ROUND((((Source!ET33*1.2))*Source!AV33*Source!I33),2)),2)+ROUND((ROUND(((Source!AE33-((Source!EU33*1.2)))*Source!AV33*Source!I33),2)),2))</f>
        <v>236.61</v>
      </c>
      <c r="K94" s="10">
        <f>IF(Source!BB33&lt;&gt; 0, Source!BB33, 1)</f>
        <v>10.71</v>
      </c>
      <c r="L94" s="45">
        <f>Source!Q33</f>
        <v>2534.09</v>
      </c>
    </row>
    <row r="95" spans="1:27" ht="14.25" x14ac:dyDescent="0.2">
      <c r="A95" s="40"/>
      <c r="B95" s="40"/>
      <c r="C95" s="41"/>
      <c r="D95" s="41" t="s">
        <v>204</v>
      </c>
      <c r="E95" s="42"/>
      <c r="F95" s="10"/>
      <c r="G95" s="44">
        <f>Source!AN33</f>
        <v>121.38</v>
      </c>
      <c r="H95" s="43" t="str">
        <f>Source!DF33</f>
        <v>)*1,2</v>
      </c>
      <c r="I95" s="10">
        <f>Source!AV33</f>
        <v>1.0469999999999999</v>
      </c>
      <c r="J95" s="46">
        <f>ROUND((ROUND((Source!AE33*Source!AV33*Source!I33),2)),2)</f>
        <v>54.9</v>
      </c>
      <c r="K95" s="10">
        <f>IF(Source!BS33&lt;&gt; 0, Source!BS33, 1)</f>
        <v>24.82</v>
      </c>
      <c r="L95" s="46">
        <f>Source!R33</f>
        <v>1362.62</v>
      </c>
      <c r="W95">
        <f>J95</f>
        <v>54.9</v>
      </c>
    </row>
    <row r="96" spans="1:27" ht="14.25" x14ac:dyDescent="0.2">
      <c r="A96" s="40"/>
      <c r="B96" s="40"/>
      <c r="C96" s="41"/>
      <c r="D96" s="41" t="s">
        <v>211</v>
      </c>
      <c r="E96" s="42"/>
      <c r="F96" s="10"/>
      <c r="G96" s="44">
        <f>Source!AL33</f>
        <v>81.2</v>
      </c>
      <c r="H96" s="43" t="str">
        <f>Source!DD33</f>
        <v/>
      </c>
      <c r="I96" s="10">
        <f>Source!AW33</f>
        <v>1</v>
      </c>
      <c r="J96" s="45">
        <f>ROUND((ROUND((Source!AC33*Source!AW33*Source!I33),2)),2)</f>
        <v>29.23</v>
      </c>
      <c r="K96" s="10">
        <f>IF(Source!BC33&lt;&gt; 0, Source!BC33, 1)</f>
        <v>5.29</v>
      </c>
      <c r="L96" s="45">
        <f>Source!P33</f>
        <v>154.63</v>
      </c>
    </row>
    <row r="97" spans="1:27" ht="14.25" x14ac:dyDescent="0.2">
      <c r="A97" s="40"/>
      <c r="B97" s="40"/>
      <c r="C97" s="41"/>
      <c r="D97" s="41" t="s">
        <v>205</v>
      </c>
      <c r="E97" s="42" t="s">
        <v>206</v>
      </c>
      <c r="F97" s="10">
        <f>Source!DN33</f>
        <v>114</v>
      </c>
      <c r="G97" s="44"/>
      <c r="H97" s="43"/>
      <c r="I97" s="10"/>
      <c r="J97" s="45">
        <f>SUM(Q91:Q96)</f>
        <v>361.8</v>
      </c>
      <c r="K97" s="10">
        <f>Source!BZ33</f>
        <v>77</v>
      </c>
      <c r="L97" s="45">
        <f>SUM(R91:R96)</f>
        <v>6065.38</v>
      </c>
    </row>
    <row r="98" spans="1:27" ht="14.25" x14ac:dyDescent="0.2">
      <c r="A98" s="40"/>
      <c r="B98" s="40"/>
      <c r="C98" s="41"/>
      <c r="D98" s="41" t="s">
        <v>207</v>
      </c>
      <c r="E98" s="42" t="s">
        <v>206</v>
      </c>
      <c r="F98" s="10">
        <f>Source!DO33</f>
        <v>67</v>
      </c>
      <c r="G98" s="44"/>
      <c r="H98" s="43"/>
      <c r="I98" s="10"/>
      <c r="J98" s="45">
        <f>SUM(S91:S97)</f>
        <v>212.64</v>
      </c>
      <c r="K98" s="10">
        <f>Source!CA33</f>
        <v>41</v>
      </c>
      <c r="L98" s="45">
        <f>SUM(T91:T97)</f>
        <v>3229.62</v>
      </c>
    </row>
    <row r="99" spans="1:27" ht="14.25" x14ac:dyDescent="0.2">
      <c r="A99" s="40"/>
      <c r="B99" s="40"/>
      <c r="C99" s="41"/>
      <c r="D99" s="41" t="s">
        <v>208</v>
      </c>
      <c r="E99" s="42" t="s">
        <v>206</v>
      </c>
      <c r="F99" s="10">
        <f>175</f>
        <v>175</v>
      </c>
      <c r="G99" s="44"/>
      <c r="H99" s="43"/>
      <c r="I99" s="10"/>
      <c r="J99" s="45">
        <f>SUM(U91:U98)</f>
        <v>96.08</v>
      </c>
      <c r="K99" s="10">
        <f>157</f>
        <v>157</v>
      </c>
      <c r="L99" s="45">
        <f>SUM(V91:V98)</f>
        <v>2139.31</v>
      </c>
    </row>
    <row r="100" spans="1:27" ht="14.25" x14ac:dyDescent="0.2">
      <c r="A100" s="40"/>
      <c r="B100" s="40"/>
      <c r="C100" s="41"/>
      <c r="D100" s="41" t="s">
        <v>209</v>
      </c>
      <c r="E100" s="42" t="s">
        <v>210</v>
      </c>
      <c r="F100" s="10">
        <f>Source!AQ33</f>
        <v>55.6</v>
      </c>
      <c r="G100" s="44"/>
      <c r="H100" s="43" t="str">
        <f>Source!DI33</f>
        <v>)*1,2</v>
      </c>
      <c r="I100" s="10">
        <f>Source!AV33</f>
        <v>1.0469999999999999</v>
      </c>
      <c r="J100" s="45">
        <f>Source!U33</f>
        <v>25.148102399999999</v>
      </c>
      <c r="K100" s="10"/>
      <c r="L100" s="45"/>
    </row>
    <row r="101" spans="1:27" ht="15" x14ac:dyDescent="0.25">
      <c r="A101" s="50"/>
      <c r="B101" s="50"/>
      <c r="C101" s="50"/>
      <c r="D101" s="50"/>
      <c r="E101" s="50"/>
      <c r="F101" s="50"/>
      <c r="G101" s="50"/>
      <c r="H101" s="50"/>
      <c r="I101" s="51">
        <f>J93+J94+J96+J97+J98+J99</f>
        <v>1253.73</v>
      </c>
      <c r="J101" s="51"/>
      <c r="K101" s="51">
        <f>L93+L94+L96+L97+L98+L99</f>
        <v>22000.149999999998</v>
      </c>
      <c r="L101" s="51"/>
      <c r="O101" s="47">
        <f>J93+J94+J96+J97+J98+J99</f>
        <v>1253.73</v>
      </c>
      <c r="P101" s="47">
        <f>L93+L94+L96+L97+L98+L99</f>
        <v>22000.149999999998</v>
      </c>
      <c r="X101">
        <f>IF(Source!BI33&lt;=1,J93+J94+J96+J97+J98+J99-0, 0)</f>
        <v>0</v>
      </c>
      <c r="Y101">
        <f>IF(Source!BI33=2,J93+J94+J96+J97+J98+J99-0, 0)</f>
        <v>1253.73</v>
      </c>
      <c r="Z101">
        <f>IF(Source!BI33=3,J93+J94+J96+J97+J98+J99-0, 0)</f>
        <v>0</v>
      </c>
      <c r="AA101">
        <f>IF(Source!BI33=4,J93+J94+J96+J97+J98+J99,0)</f>
        <v>0</v>
      </c>
    </row>
    <row r="103" spans="1:27" ht="15" x14ac:dyDescent="0.25">
      <c r="A103" s="55" t="str">
        <f>CONCATENATE("Итого по разделу: ",IF(Source!G35&lt;&gt;"Новый раздел", Source!G35, ""))</f>
        <v>Итого по разделу: Электромонтажные работы</v>
      </c>
      <c r="B103" s="55"/>
      <c r="C103" s="55"/>
      <c r="D103" s="55"/>
      <c r="E103" s="55"/>
      <c r="F103" s="55"/>
      <c r="G103" s="55"/>
      <c r="H103" s="55"/>
      <c r="I103" s="49">
        <f>SUM(O42:O102)</f>
        <v>22996.34</v>
      </c>
      <c r="J103" s="54"/>
      <c r="K103" s="49">
        <f>SUM(P42:P102)</f>
        <v>390881.54000000004</v>
      </c>
      <c r="L103" s="54"/>
    </row>
    <row r="104" spans="1:27" hidden="1" x14ac:dyDescent="0.2">
      <c r="A104" t="s">
        <v>212</v>
      </c>
      <c r="I104">
        <f>SUM(AC42:AC103)</f>
        <v>0</v>
      </c>
      <c r="K104">
        <f>SUM(AD42:AD103)</f>
        <v>0</v>
      </c>
    </row>
    <row r="105" spans="1:27" hidden="1" x14ac:dyDescent="0.2">
      <c r="A105" t="s">
        <v>213</v>
      </c>
      <c r="I105">
        <f>SUM(AE42:AE104)</f>
        <v>0</v>
      </c>
      <c r="K105">
        <f>SUM(AF42:AF104)</f>
        <v>0</v>
      </c>
    </row>
    <row r="107" spans="1:27" ht="16.5" x14ac:dyDescent="0.25">
      <c r="A107" s="39" t="str">
        <f>CONCATENATE("Раздел: ",IF(Source!G65&lt;&gt;"Новый раздел", Source!G65, ""))</f>
        <v>Раздел: Пусконаладочные работы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27" ht="28.5" x14ac:dyDescent="0.2">
      <c r="A108" s="40">
        <v>7</v>
      </c>
      <c r="B108" s="40" t="str">
        <f>Source!E69</f>
        <v>7</v>
      </c>
      <c r="C108" s="41" t="str">
        <f>Source!F69</f>
        <v>5.1-26-1</v>
      </c>
      <c r="D108" s="41" t="s">
        <v>111</v>
      </c>
      <c r="E108" s="42" t="str">
        <f>Source!H69</f>
        <v>шт.</v>
      </c>
      <c r="F108" s="10">
        <f>Source!I69</f>
        <v>8</v>
      </c>
      <c r="G108" s="44"/>
      <c r="H108" s="43"/>
      <c r="I108" s="10"/>
      <c r="J108" s="45"/>
      <c r="K108" s="10"/>
      <c r="L108" s="45"/>
      <c r="Q108">
        <f>ROUND((Source!DN69/100)*ROUND((ROUND((Source!AF69*Source!AV69*Source!I69),2)),2), 2)</f>
        <v>810.64</v>
      </c>
      <c r="R108">
        <f>Source!X69</f>
        <v>18242.16</v>
      </c>
      <c r="S108">
        <f>ROUND((Source!DO69/100)*ROUND((ROUND((Source!AF69*Source!AV69*Source!I69),2)),2), 2)</f>
        <v>756.6</v>
      </c>
      <c r="T108">
        <f>Source!Y69</f>
        <v>10998.95</v>
      </c>
      <c r="U108">
        <f>ROUND((175/100)*ROUND((ROUND((Source!AE69*Source!AV69*Source!I69),2)),2), 2)</f>
        <v>0</v>
      </c>
      <c r="V108">
        <f>ROUND((157/100)*ROUND(ROUND((ROUND((Source!AE69*Source!AV69*Source!I69),2)*Source!BS69),2), 2), 2)</f>
        <v>0</v>
      </c>
    </row>
    <row r="109" spans="1:27" ht="28.5" x14ac:dyDescent="0.2">
      <c r="A109" s="40"/>
      <c r="B109" s="40"/>
      <c r="C109" s="41"/>
      <c r="D109" s="41" t="s">
        <v>202</v>
      </c>
      <c r="E109" s="42"/>
      <c r="F109" s="10"/>
      <c r="G109" s="44">
        <f>Source!AO69</f>
        <v>129.91</v>
      </c>
      <c r="H109" s="43" t="str">
        <f>Source!DG69</f>
        <v>)*1,3)*0,8</v>
      </c>
      <c r="I109" s="10">
        <f>Source!AV69</f>
        <v>1</v>
      </c>
      <c r="J109" s="45">
        <f>ROUND((ROUND((Source!AF69*Source!AV69*Source!I69),2)),2)</f>
        <v>1080.8499999999999</v>
      </c>
      <c r="K109" s="10">
        <f>IF(Source!BA69&lt;&gt; 0, Source!BA69, 1)</f>
        <v>24.82</v>
      </c>
      <c r="L109" s="45">
        <f>Source!S69</f>
        <v>26826.7</v>
      </c>
      <c r="W109">
        <f>J109</f>
        <v>1080.8499999999999</v>
      </c>
    </row>
    <row r="110" spans="1:27" ht="14.25" x14ac:dyDescent="0.2">
      <c r="A110" s="40"/>
      <c r="B110" s="40"/>
      <c r="C110" s="41"/>
      <c r="D110" s="41" t="s">
        <v>205</v>
      </c>
      <c r="E110" s="42" t="s">
        <v>206</v>
      </c>
      <c r="F110" s="10">
        <f>Source!DN69</f>
        <v>75</v>
      </c>
      <c r="G110" s="44"/>
      <c r="H110" s="43"/>
      <c r="I110" s="10"/>
      <c r="J110" s="45">
        <f>SUM(Q108:Q109)</f>
        <v>810.64</v>
      </c>
      <c r="K110" s="10">
        <f>Source!BZ69</f>
        <v>68</v>
      </c>
      <c r="L110" s="45">
        <f>SUM(R108:R109)</f>
        <v>18242.16</v>
      </c>
    </row>
    <row r="111" spans="1:27" ht="14.25" x14ac:dyDescent="0.2">
      <c r="A111" s="40"/>
      <c r="B111" s="40"/>
      <c r="C111" s="41"/>
      <c r="D111" s="41" t="s">
        <v>207</v>
      </c>
      <c r="E111" s="42" t="s">
        <v>206</v>
      </c>
      <c r="F111" s="10">
        <f>Source!DO69</f>
        <v>70</v>
      </c>
      <c r="G111" s="44"/>
      <c r="H111" s="43"/>
      <c r="I111" s="10"/>
      <c r="J111" s="45">
        <f>SUM(S108:S110)</f>
        <v>756.6</v>
      </c>
      <c r="K111" s="10">
        <f>Source!CA69</f>
        <v>41</v>
      </c>
      <c r="L111" s="45">
        <f>SUM(T108:T110)</f>
        <v>10998.95</v>
      </c>
    </row>
    <row r="112" spans="1:27" ht="28.5" x14ac:dyDescent="0.2">
      <c r="A112" s="40"/>
      <c r="B112" s="40"/>
      <c r="C112" s="41"/>
      <c r="D112" s="41" t="s">
        <v>209</v>
      </c>
      <c r="E112" s="42" t="s">
        <v>210</v>
      </c>
      <c r="F112" s="10">
        <f>Source!AQ69</f>
        <v>8.1</v>
      </c>
      <c r="G112" s="44"/>
      <c r="H112" s="43" t="str">
        <f>Source!DI69</f>
        <v>)*1,3)*0,8</v>
      </c>
      <c r="I112" s="10">
        <f>Source!AV69</f>
        <v>1</v>
      </c>
      <c r="J112" s="45">
        <f>Source!U69</f>
        <v>67.391999999999996</v>
      </c>
      <c r="K112" s="10"/>
      <c r="L112" s="45"/>
    </row>
    <row r="113" spans="1:27" ht="15" x14ac:dyDescent="0.25">
      <c r="A113" s="50"/>
      <c r="B113" s="50"/>
      <c r="C113" s="50"/>
      <c r="D113" s="50"/>
      <c r="E113" s="50"/>
      <c r="F113" s="50"/>
      <c r="G113" s="50"/>
      <c r="H113" s="50"/>
      <c r="I113" s="51">
        <f>J109+J110+J111</f>
        <v>2648.0899999999997</v>
      </c>
      <c r="J113" s="51"/>
      <c r="K113" s="51">
        <f>L109+L110+L111</f>
        <v>56067.81</v>
      </c>
      <c r="L113" s="51"/>
      <c r="O113" s="47">
        <f>J109+J110+J111</f>
        <v>2648.0899999999997</v>
      </c>
      <c r="P113" s="47">
        <f>L109+L110+L111</f>
        <v>56067.81</v>
      </c>
      <c r="X113">
        <f>IF(Source!BI69&lt;=1,J109+J110+J111-0, 0)</f>
        <v>0</v>
      </c>
      <c r="Y113">
        <f>IF(Source!BI69=2,J109+J110+J111-0, 0)</f>
        <v>0</v>
      </c>
      <c r="Z113">
        <f>IF(Source!BI69=3,J109+J110+J111-0, 0)</f>
        <v>0</v>
      </c>
      <c r="AA113">
        <f>IF(Source!BI69=4,J109+J110+J111,0)</f>
        <v>2648.0899999999997</v>
      </c>
    </row>
    <row r="114" spans="1:27" ht="42.75" x14ac:dyDescent="0.2">
      <c r="A114" s="40">
        <v>8</v>
      </c>
      <c r="B114" s="40" t="str">
        <f>Source!E70</f>
        <v>8</v>
      </c>
      <c r="C114" s="41" t="str">
        <f>Source!F70</f>
        <v>5.1-162-2</v>
      </c>
      <c r="D114" s="41" t="s">
        <v>119</v>
      </c>
      <c r="E114" s="42" t="str">
        <f>Source!H70</f>
        <v>измерение</v>
      </c>
      <c r="F114" s="10">
        <f>Source!I70</f>
        <v>15</v>
      </c>
      <c r="G114" s="44"/>
      <c r="H114" s="43"/>
      <c r="I114" s="10"/>
      <c r="J114" s="45"/>
      <c r="K114" s="10"/>
      <c r="L114" s="45"/>
      <c r="Q114">
        <f>ROUND((Source!DN70/100)*ROUND((ROUND((Source!AF70*Source!AV70*Source!I70),2)),2), 2)</f>
        <v>18.489999999999998</v>
      </c>
      <c r="R114">
        <f>Source!X70</f>
        <v>416.03</v>
      </c>
      <c r="S114">
        <f>ROUND((Source!DO70/100)*ROUND((ROUND((Source!AF70*Source!AV70*Source!I70),2)),2), 2)</f>
        <v>17.260000000000002</v>
      </c>
      <c r="T114">
        <f>Source!Y70</f>
        <v>250.84</v>
      </c>
      <c r="U114">
        <f>ROUND((175/100)*ROUND((ROUND((Source!AE70*Source!AV70*Source!I70),2)),2), 2)</f>
        <v>0</v>
      </c>
      <c r="V114">
        <f>ROUND((157/100)*ROUND(ROUND((ROUND((Source!AE70*Source!AV70*Source!I70),2)*Source!BS70),2), 2), 2)</f>
        <v>0</v>
      </c>
    </row>
    <row r="115" spans="1:27" ht="28.5" x14ac:dyDescent="0.2">
      <c r="A115" s="40"/>
      <c r="B115" s="40"/>
      <c r="C115" s="41"/>
      <c r="D115" s="41" t="s">
        <v>202</v>
      </c>
      <c r="E115" s="42"/>
      <c r="F115" s="10"/>
      <c r="G115" s="44">
        <f>Source!AO70</f>
        <v>1.58</v>
      </c>
      <c r="H115" s="43" t="str">
        <f>Source!DG70</f>
        <v>)*1,3)*0,8</v>
      </c>
      <c r="I115" s="10">
        <f>Source!AV70</f>
        <v>1</v>
      </c>
      <c r="J115" s="45">
        <f>ROUND((ROUND((Source!AF70*Source!AV70*Source!I70),2)),2)</f>
        <v>24.65</v>
      </c>
      <c r="K115" s="10">
        <f>IF(Source!BA70&lt;&gt; 0, Source!BA70, 1)</f>
        <v>24.82</v>
      </c>
      <c r="L115" s="45">
        <f>Source!S70</f>
        <v>611.80999999999995</v>
      </c>
      <c r="W115">
        <f>J115</f>
        <v>24.65</v>
      </c>
    </row>
    <row r="116" spans="1:27" ht="14.25" x14ac:dyDescent="0.2">
      <c r="A116" s="40"/>
      <c r="B116" s="40"/>
      <c r="C116" s="41"/>
      <c r="D116" s="41" t="s">
        <v>205</v>
      </c>
      <c r="E116" s="42" t="s">
        <v>206</v>
      </c>
      <c r="F116" s="10">
        <f>Source!DN70</f>
        <v>75</v>
      </c>
      <c r="G116" s="44"/>
      <c r="H116" s="43"/>
      <c r="I116" s="10"/>
      <c r="J116" s="45">
        <f>SUM(Q114:Q115)</f>
        <v>18.489999999999998</v>
      </c>
      <c r="K116" s="10">
        <f>Source!BZ70</f>
        <v>68</v>
      </c>
      <c r="L116" s="45">
        <f>SUM(R114:R115)</f>
        <v>416.03</v>
      </c>
    </row>
    <row r="117" spans="1:27" ht="14.25" x14ac:dyDescent="0.2">
      <c r="A117" s="40"/>
      <c r="B117" s="40"/>
      <c r="C117" s="41"/>
      <c r="D117" s="41" t="s">
        <v>207</v>
      </c>
      <c r="E117" s="42" t="s">
        <v>206</v>
      </c>
      <c r="F117" s="10">
        <f>Source!DO70</f>
        <v>70</v>
      </c>
      <c r="G117" s="44"/>
      <c r="H117" s="43"/>
      <c r="I117" s="10"/>
      <c r="J117" s="45">
        <f>SUM(S114:S116)</f>
        <v>17.260000000000002</v>
      </c>
      <c r="K117" s="10">
        <f>Source!CA70</f>
        <v>41</v>
      </c>
      <c r="L117" s="45">
        <f>SUM(T114:T116)</f>
        <v>250.84</v>
      </c>
    </row>
    <row r="118" spans="1:27" ht="28.5" x14ac:dyDescent="0.2">
      <c r="A118" s="40"/>
      <c r="B118" s="40"/>
      <c r="C118" s="41"/>
      <c r="D118" s="41" t="s">
        <v>209</v>
      </c>
      <c r="E118" s="42" t="s">
        <v>210</v>
      </c>
      <c r="F118" s="10">
        <f>Source!AQ70</f>
        <v>0.1</v>
      </c>
      <c r="G118" s="44"/>
      <c r="H118" s="43" t="str">
        <f>Source!DI70</f>
        <v>)*1,3)*0,8</v>
      </c>
      <c r="I118" s="10">
        <f>Source!AV70</f>
        <v>1</v>
      </c>
      <c r="J118" s="45">
        <f>Source!U70</f>
        <v>1.56</v>
      </c>
      <c r="K118" s="10"/>
      <c r="L118" s="45"/>
    </row>
    <row r="119" spans="1:27" ht="15" x14ac:dyDescent="0.25">
      <c r="A119" s="50"/>
      <c r="B119" s="50"/>
      <c r="C119" s="50"/>
      <c r="D119" s="50"/>
      <c r="E119" s="50"/>
      <c r="F119" s="50"/>
      <c r="G119" s="50"/>
      <c r="H119" s="50"/>
      <c r="I119" s="51">
        <f>J115+J116+J117</f>
        <v>60.400000000000006</v>
      </c>
      <c r="J119" s="51"/>
      <c r="K119" s="51">
        <f>L115+L116+L117</f>
        <v>1278.6799999999998</v>
      </c>
      <c r="L119" s="51"/>
      <c r="O119" s="47">
        <f>J115+J116+J117</f>
        <v>60.400000000000006</v>
      </c>
      <c r="P119" s="47">
        <f>L115+L116+L117</f>
        <v>1278.6799999999998</v>
      </c>
      <c r="X119">
        <f>IF(Source!BI70&lt;=1,J115+J116+J117-0, 0)</f>
        <v>0</v>
      </c>
      <c r="Y119">
        <f>IF(Source!BI70=2,J115+J116+J117-0, 0)</f>
        <v>0</v>
      </c>
      <c r="Z119">
        <f>IF(Source!BI70=3,J115+J116+J117-0, 0)</f>
        <v>0</v>
      </c>
      <c r="AA119">
        <f>IF(Source!BI70=4,J115+J116+J117,0)</f>
        <v>60.400000000000006</v>
      </c>
    </row>
    <row r="120" spans="1:27" ht="28.5" x14ac:dyDescent="0.2">
      <c r="A120" s="40">
        <v>9</v>
      </c>
      <c r="B120" s="40" t="str">
        <f>Source!E71</f>
        <v>9</v>
      </c>
      <c r="C120" s="41" t="str">
        <f>Source!F71</f>
        <v>5.1-169-1</v>
      </c>
      <c r="D120" s="41" t="s">
        <v>124</v>
      </c>
      <c r="E120" s="42" t="str">
        <f>Source!H71</f>
        <v>испытание</v>
      </c>
      <c r="F120" s="10">
        <f>Source!I71</f>
        <v>15</v>
      </c>
      <c r="G120" s="44"/>
      <c r="H120" s="43"/>
      <c r="I120" s="10"/>
      <c r="J120" s="45"/>
      <c r="K120" s="10"/>
      <c r="L120" s="45"/>
      <c r="Q120">
        <f>ROUND((Source!DN71/100)*ROUND((ROUND((Source!AF71*Source!AV71*Source!I71),2)),2), 2)</f>
        <v>502.87</v>
      </c>
      <c r="R120">
        <f>Source!X71</f>
        <v>11316.26</v>
      </c>
      <c r="S120">
        <f>ROUND((Source!DO71/100)*ROUND((ROUND((Source!AF71*Source!AV71*Source!I71),2)),2), 2)</f>
        <v>469.34</v>
      </c>
      <c r="T120">
        <f>Source!Y71</f>
        <v>6823.04</v>
      </c>
      <c r="U120">
        <f>ROUND((175/100)*ROUND((ROUND((Source!AE71*Source!AV71*Source!I71),2)),2), 2)</f>
        <v>0</v>
      </c>
      <c r="V120">
        <f>ROUND((157/100)*ROUND(ROUND((ROUND((Source!AE71*Source!AV71*Source!I71),2)*Source!BS71),2), 2), 2)</f>
        <v>0</v>
      </c>
    </row>
    <row r="121" spans="1:27" ht="28.5" x14ac:dyDescent="0.2">
      <c r="A121" s="40"/>
      <c r="B121" s="40"/>
      <c r="C121" s="41"/>
      <c r="D121" s="41" t="s">
        <v>202</v>
      </c>
      <c r="E121" s="42"/>
      <c r="F121" s="10"/>
      <c r="G121" s="44">
        <f>Source!AO71</f>
        <v>42.98</v>
      </c>
      <c r="H121" s="43" t="str">
        <f>Source!DG71</f>
        <v>)*1,3)*0,8</v>
      </c>
      <c r="I121" s="10">
        <f>Source!AV71</f>
        <v>1</v>
      </c>
      <c r="J121" s="45">
        <f>ROUND((ROUND((Source!AF71*Source!AV71*Source!I71),2)),2)</f>
        <v>670.49</v>
      </c>
      <c r="K121" s="10">
        <f>IF(Source!BA71&lt;&gt; 0, Source!BA71, 1)</f>
        <v>24.82</v>
      </c>
      <c r="L121" s="45">
        <f>Source!S71</f>
        <v>16641.560000000001</v>
      </c>
      <c r="W121">
        <f>J121</f>
        <v>670.49</v>
      </c>
    </row>
    <row r="122" spans="1:27" ht="14.25" x14ac:dyDescent="0.2">
      <c r="A122" s="40"/>
      <c r="B122" s="40"/>
      <c r="C122" s="41"/>
      <c r="D122" s="41" t="s">
        <v>205</v>
      </c>
      <c r="E122" s="42" t="s">
        <v>206</v>
      </c>
      <c r="F122" s="10">
        <f>Source!DN71</f>
        <v>75</v>
      </c>
      <c r="G122" s="44"/>
      <c r="H122" s="43"/>
      <c r="I122" s="10"/>
      <c r="J122" s="45">
        <f>SUM(Q120:Q121)</f>
        <v>502.87</v>
      </c>
      <c r="K122" s="10">
        <f>Source!BZ71</f>
        <v>68</v>
      </c>
      <c r="L122" s="45">
        <f>SUM(R120:R121)</f>
        <v>11316.26</v>
      </c>
    </row>
    <row r="123" spans="1:27" ht="14.25" x14ac:dyDescent="0.2">
      <c r="A123" s="40"/>
      <c r="B123" s="40"/>
      <c r="C123" s="41"/>
      <c r="D123" s="41" t="s">
        <v>207</v>
      </c>
      <c r="E123" s="42" t="s">
        <v>206</v>
      </c>
      <c r="F123" s="10">
        <f>Source!DO71</f>
        <v>70</v>
      </c>
      <c r="G123" s="44"/>
      <c r="H123" s="43"/>
      <c r="I123" s="10"/>
      <c r="J123" s="45">
        <f>SUM(S120:S122)</f>
        <v>469.34</v>
      </c>
      <c r="K123" s="10">
        <f>Source!CA71</f>
        <v>41</v>
      </c>
      <c r="L123" s="45">
        <f>SUM(T120:T122)</f>
        <v>6823.04</v>
      </c>
    </row>
    <row r="124" spans="1:27" ht="28.5" x14ac:dyDescent="0.2">
      <c r="A124" s="40"/>
      <c r="B124" s="40"/>
      <c r="C124" s="41"/>
      <c r="D124" s="41" t="s">
        <v>209</v>
      </c>
      <c r="E124" s="42" t="s">
        <v>210</v>
      </c>
      <c r="F124" s="10">
        <f>Source!AQ71</f>
        <v>2.7</v>
      </c>
      <c r="G124" s="44"/>
      <c r="H124" s="43" t="str">
        <f>Source!DI71</f>
        <v>)*1,3)*0,8</v>
      </c>
      <c r="I124" s="10">
        <f>Source!AV71</f>
        <v>1</v>
      </c>
      <c r="J124" s="45">
        <f>Source!U71</f>
        <v>42.120000000000005</v>
      </c>
      <c r="K124" s="10"/>
      <c r="L124" s="45"/>
    </row>
    <row r="125" spans="1:27" ht="15" x14ac:dyDescent="0.25">
      <c r="A125" s="50"/>
      <c r="B125" s="50"/>
      <c r="C125" s="50"/>
      <c r="D125" s="50"/>
      <c r="E125" s="50"/>
      <c r="F125" s="50"/>
      <c r="G125" s="50"/>
      <c r="H125" s="50"/>
      <c r="I125" s="51">
        <f>J121+J122+J123</f>
        <v>1642.7</v>
      </c>
      <c r="J125" s="51"/>
      <c r="K125" s="51">
        <f>L121+L122+L123</f>
        <v>34780.86</v>
      </c>
      <c r="L125" s="51"/>
      <c r="O125" s="47">
        <f>J121+J122+J123</f>
        <v>1642.7</v>
      </c>
      <c r="P125" s="47">
        <f>L121+L122+L123</f>
        <v>34780.86</v>
      </c>
      <c r="X125">
        <f>IF(Source!BI71&lt;=1,J121+J122+J123-0, 0)</f>
        <v>0</v>
      </c>
      <c r="Y125">
        <f>IF(Source!BI71=2,J121+J122+J123-0, 0)</f>
        <v>0</v>
      </c>
      <c r="Z125">
        <f>IF(Source!BI71=3,J121+J122+J123-0, 0)</f>
        <v>0</v>
      </c>
      <c r="AA125">
        <f>IF(Source!BI71=4,J121+J122+J123,0)</f>
        <v>1642.7</v>
      </c>
    </row>
    <row r="126" spans="1:27" ht="42.75" x14ac:dyDescent="0.2">
      <c r="A126" s="40">
        <v>10</v>
      </c>
      <c r="B126" s="40" t="str">
        <f>Source!E72</f>
        <v>10</v>
      </c>
      <c r="C126" s="41" t="str">
        <f>Source!F72</f>
        <v>5.1-152-1</v>
      </c>
      <c r="D126" s="41" t="s">
        <v>129</v>
      </c>
      <c r="E126" s="42" t="str">
        <f>Source!H72</f>
        <v>точка</v>
      </c>
      <c r="F126" s="10">
        <f>Source!I72</f>
        <v>55</v>
      </c>
      <c r="G126" s="44"/>
      <c r="H126" s="43"/>
      <c r="I126" s="10"/>
      <c r="J126" s="45"/>
      <c r="K126" s="10"/>
      <c r="L126" s="45"/>
      <c r="Q126">
        <f>ROUND((Source!DN72/100)*ROUND((ROUND((Source!AF72*Source!AV72*Source!I72),2)),2), 2)</f>
        <v>101.67</v>
      </c>
      <c r="R126">
        <f>Source!X72</f>
        <v>2287.9299999999998</v>
      </c>
      <c r="S126">
        <f>ROUND((Source!DO72/100)*ROUND((ROUND((Source!AF72*Source!AV72*Source!I72),2)),2), 2)</f>
        <v>94.89</v>
      </c>
      <c r="T126">
        <f>Source!Y72</f>
        <v>1379.49</v>
      </c>
      <c r="U126">
        <f>ROUND((175/100)*ROUND((ROUND((Source!AE72*Source!AV72*Source!I72),2)),2), 2)</f>
        <v>0</v>
      </c>
      <c r="V126">
        <f>ROUND((157/100)*ROUND(ROUND((ROUND((Source!AE72*Source!AV72*Source!I72),2)*Source!BS72),2), 2), 2)</f>
        <v>0</v>
      </c>
    </row>
    <row r="127" spans="1:27" ht="28.5" x14ac:dyDescent="0.2">
      <c r="A127" s="40"/>
      <c r="B127" s="40"/>
      <c r="C127" s="41"/>
      <c r="D127" s="41" t="s">
        <v>202</v>
      </c>
      <c r="E127" s="42"/>
      <c r="F127" s="10"/>
      <c r="G127" s="44">
        <f>Source!AO72</f>
        <v>2.37</v>
      </c>
      <c r="H127" s="43" t="str">
        <f>Source!DG72</f>
        <v>)*1,3)*0,8</v>
      </c>
      <c r="I127" s="10">
        <f>Source!AV72</f>
        <v>1</v>
      </c>
      <c r="J127" s="45">
        <f>ROUND((ROUND((Source!AF72*Source!AV72*Source!I72),2)),2)</f>
        <v>135.56</v>
      </c>
      <c r="K127" s="10">
        <f>IF(Source!BA72&lt;&gt; 0, Source!BA72, 1)</f>
        <v>24.82</v>
      </c>
      <c r="L127" s="45">
        <f>Source!S72</f>
        <v>3364.6</v>
      </c>
      <c r="W127">
        <f>J127</f>
        <v>135.56</v>
      </c>
    </row>
    <row r="128" spans="1:27" ht="14.25" x14ac:dyDescent="0.2">
      <c r="A128" s="40"/>
      <c r="B128" s="40"/>
      <c r="C128" s="41"/>
      <c r="D128" s="41" t="s">
        <v>205</v>
      </c>
      <c r="E128" s="42" t="s">
        <v>206</v>
      </c>
      <c r="F128" s="10">
        <f>Source!DN72</f>
        <v>75</v>
      </c>
      <c r="G128" s="44"/>
      <c r="H128" s="43"/>
      <c r="I128" s="10"/>
      <c r="J128" s="45">
        <f>SUM(Q126:Q127)</f>
        <v>101.67</v>
      </c>
      <c r="K128" s="10">
        <f>Source!BZ72</f>
        <v>68</v>
      </c>
      <c r="L128" s="45">
        <f>SUM(R126:R127)</f>
        <v>2287.9299999999998</v>
      </c>
    </row>
    <row r="129" spans="1:27" ht="14.25" x14ac:dyDescent="0.2">
      <c r="A129" s="40"/>
      <c r="B129" s="40"/>
      <c r="C129" s="41"/>
      <c r="D129" s="41" t="s">
        <v>207</v>
      </c>
      <c r="E129" s="42" t="s">
        <v>206</v>
      </c>
      <c r="F129" s="10">
        <f>Source!DO72</f>
        <v>70</v>
      </c>
      <c r="G129" s="44"/>
      <c r="H129" s="43"/>
      <c r="I129" s="10"/>
      <c r="J129" s="45">
        <f>SUM(S126:S128)</f>
        <v>94.89</v>
      </c>
      <c r="K129" s="10">
        <f>Source!CA72</f>
        <v>41</v>
      </c>
      <c r="L129" s="45">
        <f>SUM(T126:T128)</f>
        <v>1379.49</v>
      </c>
    </row>
    <row r="130" spans="1:27" ht="28.5" x14ac:dyDescent="0.2">
      <c r="A130" s="40"/>
      <c r="B130" s="40"/>
      <c r="C130" s="41"/>
      <c r="D130" s="41" t="s">
        <v>209</v>
      </c>
      <c r="E130" s="42" t="s">
        <v>210</v>
      </c>
      <c r="F130" s="10">
        <f>Source!AQ72</f>
        <v>0.15</v>
      </c>
      <c r="G130" s="44"/>
      <c r="H130" s="43" t="str">
        <f>Source!DI72</f>
        <v>)*1,3)*0,8</v>
      </c>
      <c r="I130" s="10">
        <f>Source!AV72</f>
        <v>1</v>
      </c>
      <c r="J130" s="45">
        <f>Source!U72</f>
        <v>8.5800000000000018</v>
      </c>
      <c r="K130" s="10"/>
      <c r="L130" s="45"/>
    </row>
    <row r="131" spans="1:27" ht="15" x14ac:dyDescent="0.25">
      <c r="A131" s="50"/>
      <c r="B131" s="50"/>
      <c r="C131" s="50"/>
      <c r="D131" s="50"/>
      <c r="E131" s="50"/>
      <c r="F131" s="50"/>
      <c r="G131" s="50"/>
      <c r="H131" s="50"/>
      <c r="I131" s="51">
        <f>J127+J128+J129</f>
        <v>332.12</v>
      </c>
      <c r="J131" s="51"/>
      <c r="K131" s="51">
        <f>L127+L128+L129</f>
        <v>7032.0199999999995</v>
      </c>
      <c r="L131" s="51"/>
      <c r="O131" s="47">
        <f>J127+J128+J129</f>
        <v>332.12</v>
      </c>
      <c r="P131" s="47">
        <f>L127+L128+L129</f>
        <v>7032.0199999999995</v>
      </c>
      <c r="X131">
        <f>IF(Source!BI72&lt;=1,J127+J128+J129-0, 0)</f>
        <v>0</v>
      </c>
      <c r="Y131">
        <f>IF(Source!BI72=2,J127+J128+J129-0, 0)</f>
        <v>0</v>
      </c>
      <c r="Z131">
        <f>IF(Source!BI72=3,J127+J128+J129-0, 0)</f>
        <v>0</v>
      </c>
      <c r="AA131">
        <f>IF(Source!BI72=4,J127+J128+J129,0)</f>
        <v>332.12</v>
      </c>
    </row>
    <row r="132" spans="1:27" ht="57" x14ac:dyDescent="0.2">
      <c r="A132" s="40">
        <v>11</v>
      </c>
      <c r="B132" s="40" t="str">
        <f>Source!E73</f>
        <v>11</v>
      </c>
      <c r="C132" s="41" t="str">
        <f>Source!F73</f>
        <v>5.1-158-2</v>
      </c>
      <c r="D132" s="41" t="s">
        <v>134</v>
      </c>
      <c r="E132" s="42" t="str">
        <f>Source!H73</f>
        <v>фазировка</v>
      </c>
      <c r="F132" s="10">
        <f>Source!I73</f>
        <v>3</v>
      </c>
      <c r="G132" s="44"/>
      <c r="H132" s="43"/>
      <c r="I132" s="10"/>
      <c r="J132" s="45"/>
      <c r="K132" s="10"/>
      <c r="L132" s="45"/>
      <c r="Q132">
        <f>ROUND((Source!DN73/100)*ROUND((ROUND((Source!AF73*Source!AV73*Source!I73),2)),2), 2)</f>
        <v>66.67</v>
      </c>
      <c r="R132">
        <f>Source!X73</f>
        <v>1500.25</v>
      </c>
      <c r="S132">
        <f>ROUND((Source!DO73/100)*ROUND((ROUND((Source!AF73*Source!AV73*Source!I73),2)),2), 2)</f>
        <v>62.22</v>
      </c>
      <c r="T132">
        <f>Source!Y73</f>
        <v>904.56</v>
      </c>
      <c r="U132">
        <f>ROUND((175/100)*ROUND((ROUND((Source!AE73*Source!AV73*Source!I73),2)),2), 2)</f>
        <v>0</v>
      </c>
      <c r="V132">
        <f>ROUND((157/100)*ROUND(ROUND((ROUND((Source!AE73*Source!AV73*Source!I73),2)*Source!BS73),2), 2), 2)</f>
        <v>0</v>
      </c>
    </row>
    <row r="133" spans="1:27" ht="28.5" x14ac:dyDescent="0.2">
      <c r="A133" s="40"/>
      <c r="B133" s="40"/>
      <c r="C133" s="41"/>
      <c r="D133" s="41" t="s">
        <v>202</v>
      </c>
      <c r="E133" s="42"/>
      <c r="F133" s="10"/>
      <c r="G133" s="44">
        <f>Source!AO73</f>
        <v>28.49</v>
      </c>
      <c r="H133" s="43" t="str">
        <f>Source!DG73</f>
        <v>)*1,3)*0,8</v>
      </c>
      <c r="I133" s="10">
        <f>Source!AV73</f>
        <v>1</v>
      </c>
      <c r="J133" s="45">
        <f>ROUND((ROUND((Source!AF73*Source!AV73*Source!I73),2)),2)</f>
        <v>88.89</v>
      </c>
      <c r="K133" s="10">
        <f>IF(Source!BA73&lt;&gt; 0, Source!BA73, 1)</f>
        <v>24.82</v>
      </c>
      <c r="L133" s="45">
        <f>Source!S73</f>
        <v>2206.25</v>
      </c>
      <c r="W133">
        <f>J133</f>
        <v>88.89</v>
      </c>
    </row>
    <row r="134" spans="1:27" ht="14.25" x14ac:dyDescent="0.2">
      <c r="A134" s="40"/>
      <c r="B134" s="40"/>
      <c r="C134" s="41"/>
      <c r="D134" s="41" t="s">
        <v>205</v>
      </c>
      <c r="E134" s="42" t="s">
        <v>206</v>
      </c>
      <c r="F134" s="10">
        <f>Source!DN73</f>
        <v>75</v>
      </c>
      <c r="G134" s="44"/>
      <c r="H134" s="43"/>
      <c r="I134" s="10"/>
      <c r="J134" s="45">
        <f>SUM(Q132:Q133)</f>
        <v>66.67</v>
      </c>
      <c r="K134" s="10">
        <f>Source!BZ73</f>
        <v>68</v>
      </c>
      <c r="L134" s="45">
        <f>SUM(R132:R133)</f>
        <v>1500.25</v>
      </c>
    </row>
    <row r="135" spans="1:27" ht="14.25" x14ac:dyDescent="0.2">
      <c r="A135" s="40"/>
      <c r="B135" s="40"/>
      <c r="C135" s="41"/>
      <c r="D135" s="41" t="s">
        <v>207</v>
      </c>
      <c r="E135" s="42" t="s">
        <v>206</v>
      </c>
      <c r="F135" s="10">
        <f>Source!DO73</f>
        <v>70</v>
      </c>
      <c r="G135" s="44"/>
      <c r="H135" s="43"/>
      <c r="I135" s="10"/>
      <c r="J135" s="45">
        <f>SUM(S132:S134)</f>
        <v>62.22</v>
      </c>
      <c r="K135" s="10">
        <f>Source!CA73</f>
        <v>41</v>
      </c>
      <c r="L135" s="45">
        <f>SUM(T132:T134)</f>
        <v>904.56</v>
      </c>
    </row>
    <row r="136" spans="1:27" ht="28.5" x14ac:dyDescent="0.2">
      <c r="A136" s="40"/>
      <c r="B136" s="40"/>
      <c r="C136" s="41"/>
      <c r="D136" s="41" t="s">
        <v>209</v>
      </c>
      <c r="E136" s="42" t="s">
        <v>210</v>
      </c>
      <c r="F136" s="10">
        <f>Source!AQ73</f>
        <v>1.8</v>
      </c>
      <c r="G136" s="44"/>
      <c r="H136" s="43" t="str">
        <f>Source!DI73</f>
        <v>)*1,3)*0,8</v>
      </c>
      <c r="I136" s="10">
        <f>Source!AV73</f>
        <v>1</v>
      </c>
      <c r="J136" s="45">
        <f>Source!U73</f>
        <v>5.6160000000000014</v>
      </c>
      <c r="K136" s="10"/>
      <c r="L136" s="45"/>
    </row>
    <row r="137" spans="1:27" ht="15" x14ac:dyDescent="0.25">
      <c r="A137" s="50"/>
      <c r="B137" s="50"/>
      <c r="C137" s="50"/>
      <c r="D137" s="50"/>
      <c r="E137" s="50"/>
      <c r="F137" s="50"/>
      <c r="G137" s="50"/>
      <c r="H137" s="50"/>
      <c r="I137" s="51">
        <f>J133+J134+J135</f>
        <v>217.78</v>
      </c>
      <c r="J137" s="51"/>
      <c r="K137" s="51">
        <f>L133+L134+L135</f>
        <v>4611.0599999999995</v>
      </c>
      <c r="L137" s="51"/>
      <c r="O137" s="47">
        <f>J133+J134+J135</f>
        <v>217.78</v>
      </c>
      <c r="P137" s="47">
        <f>L133+L134+L135</f>
        <v>4611.0599999999995</v>
      </c>
      <c r="X137">
        <f>IF(Source!BI73&lt;=1,J133+J134+J135-0, 0)</f>
        <v>0</v>
      </c>
      <c r="Y137">
        <f>IF(Source!BI73=2,J133+J134+J135-0, 0)</f>
        <v>0</v>
      </c>
      <c r="Z137">
        <f>IF(Source!BI73=3,J133+J134+J135-0, 0)</f>
        <v>0</v>
      </c>
      <c r="AA137">
        <f>IF(Source!BI73=4,J133+J134+J135,0)</f>
        <v>217.78</v>
      </c>
    </row>
    <row r="138" spans="1:27" ht="28.5" x14ac:dyDescent="0.2">
      <c r="A138" s="40">
        <v>12</v>
      </c>
      <c r="B138" s="40" t="str">
        <f>Source!E74</f>
        <v>12</v>
      </c>
      <c r="C138" s="41" t="str">
        <f>Source!F74</f>
        <v>5.1-168-1</v>
      </c>
      <c r="D138" s="41" t="s">
        <v>140</v>
      </c>
      <c r="E138" s="42" t="str">
        <f>Source!H74</f>
        <v>испытание</v>
      </c>
      <c r="F138" s="10">
        <f>Source!I74</f>
        <v>8</v>
      </c>
      <c r="G138" s="44"/>
      <c r="H138" s="43"/>
      <c r="I138" s="10"/>
      <c r="J138" s="45"/>
      <c r="K138" s="10"/>
      <c r="L138" s="45"/>
      <c r="Q138">
        <f>ROUND((Source!DN74/100)*ROUND((ROUND((Source!AF74*Source!AV74*Source!I74),2)),2), 2)</f>
        <v>759.22</v>
      </c>
      <c r="R138">
        <f>Source!X74</f>
        <v>17085.03</v>
      </c>
      <c r="S138">
        <f>ROUND((Source!DO74/100)*ROUND((ROUND((Source!AF74*Source!AV74*Source!I74),2)),2), 2)</f>
        <v>708.6</v>
      </c>
      <c r="T138">
        <f>Source!Y74</f>
        <v>10301.27</v>
      </c>
      <c r="U138">
        <f>ROUND((175/100)*ROUND((ROUND((Source!AE74*Source!AV74*Source!I74),2)),2), 2)</f>
        <v>0</v>
      </c>
      <c r="V138">
        <f>ROUND((157/100)*ROUND(ROUND((ROUND((Source!AE74*Source!AV74*Source!I74),2)*Source!BS74),2), 2), 2)</f>
        <v>0</v>
      </c>
    </row>
    <row r="139" spans="1:27" ht="28.5" x14ac:dyDescent="0.2">
      <c r="A139" s="40"/>
      <c r="B139" s="40"/>
      <c r="C139" s="41"/>
      <c r="D139" s="41" t="s">
        <v>202</v>
      </c>
      <c r="E139" s="42"/>
      <c r="F139" s="10"/>
      <c r="G139" s="44">
        <f>Source!AO74</f>
        <v>121.67</v>
      </c>
      <c r="H139" s="43" t="str">
        <f>Source!DG74</f>
        <v>)*1,3)*0,8</v>
      </c>
      <c r="I139" s="10">
        <f>Source!AV74</f>
        <v>1</v>
      </c>
      <c r="J139" s="45">
        <f>ROUND((ROUND((Source!AF74*Source!AV74*Source!I74),2)),2)</f>
        <v>1012.29</v>
      </c>
      <c r="K139" s="10">
        <f>IF(Source!BA74&lt;&gt; 0, Source!BA74, 1)</f>
        <v>24.82</v>
      </c>
      <c r="L139" s="45">
        <f>Source!S74</f>
        <v>25125.040000000001</v>
      </c>
      <c r="W139">
        <f>J139</f>
        <v>1012.29</v>
      </c>
    </row>
    <row r="140" spans="1:27" ht="14.25" x14ac:dyDescent="0.2">
      <c r="A140" s="40"/>
      <c r="B140" s="40"/>
      <c r="C140" s="41"/>
      <c r="D140" s="41" t="s">
        <v>205</v>
      </c>
      <c r="E140" s="42" t="s">
        <v>206</v>
      </c>
      <c r="F140" s="10">
        <f>Source!DN74</f>
        <v>75</v>
      </c>
      <c r="G140" s="44"/>
      <c r="H140" s="43"/>
      <c r="I140" s="10"/>
      <c r="J140" s="45">
        <f>SUM(Q138:Q139)</f>
        <v>759.22</v>
      </c>
      <c r="K140" s="10">
        <f>Source!BZ74</f>
        <v>68</v>
      </c>
      <c r="L140" s="45">
        <f>SUM(R138:R139)</f>
        <v>17085.03</v>
      </c>
    </row>
    <row r="141" spans="1:27" ht="14.25" x14ac:dyDescent="0.2">
      <c r="A141" s="40"/>
      <c r="B141" s="40"/>
      <c r="C141" s="41"/>
      <c r="D141" s="41" t="s">
        <v>207</v>
      </c>
      <c r="E141" s="42" t="s">
        <v>206</v>
      </c>
      <c r="F141" s="10">
        <f>Source!DO74</f>
        <v>70</v>
      </c>
      <c r="G141" s="44"/>
      <c r="H141" s="43"/>
      <c r="I141" s="10"/>
      <c r="J141" s="45">
        <f>SUM(S138:S140)</f>
        <v>708.6</v>
      </c>
      <c r="K141" s="10">
        <f>Source!CA74</f>
        <v>41</v>
      </c>
      <c r="L141" s="45">
        <f>SUM(T138:T140)</f>
        <v>10301.27</v>
      </c>
    </row>
    <row r="142" spans="1:27" ht="28.5" x14ac:dyDescent="0.2">
      <c r="A142" s="40"/>
      <c r="B142" s="40"/>
      <c r="C142" s="41"/>
      <c r="D142" s="41" t="s">
        <v>209</v>
      </c>
      <c r="E142" s="42" t="s">
        <v>210</v>
      </c>
      <c r="F142" s="10">
        <f>Source!AQ74</f>
        <v>8.1</v>
      </c>
      <c r="G142" s="44"/>
      <c r="H142" s="43" t="str">
        <f>Source!DI74</f>
        <v>)*1,3)*0,8</v>
      </c>
      <c r="I142" s="10">
        <f>Source!AV74</f>
        <v>1</v>
      </c>
      <c r="J142" s="45">
        <f>Source!U74</f>
        <v>67.391999999999996</v>
      </c>
      <c r="K142" s="10"/>
      <c r="L142" s="45"/>
    </row>
    <row r="143" spans="1:27" ht="15" x14ac:dyDescent="0.25">
      <c r="A143" s="50"/>
      <c r="B143" s="50"/>
      <c r="C143" s="50"/>
      <c r="D143" s="50"/>
      <c r="E143" s="50"/>
      <c r="F143" s="50"/>
      <c r="G143" s="50"/>
      <c r="H143" s="50"/>
      <c r="I143" s="51">
        <f>J139+J140+J141</f>
        <v>2480.11</v>
      </c>
      <c r="J143" s="51"/>
      <c r="K143" s="51">
        <f>L139+L140+L141</f>
        <v>52511.34</v>
      </c>
      <c r="L143" s="51"/>
      <c r="O143" s="47">
        <f>J139+J140+J141</f>
        <v>2480.11</v>
      </c>
      <c r="P143" s="47">
        <f>L139+L140+L141</f>
        <v>52511.34</v>
      </c>
      <c r="X143">
        <f>IF(Source!BI74&lt;=1,J139+J140+J141-0, 0)</f>
        <v>0</v>
      </c>
      <c r="Y143">
        <f>IF(Source!BI74=2,J139+J140+J141-0, 0)</f>
        <v>0</v>
      </c>
      <c r="Z143">
        <f>IF(Source!BI74=3,J139+J140+J141-0, 0)</f>
        <v>0</v>
      </c>
      <c r="AA143">
        <f>IF(Source!BI74=4,J139+J140+J141,0)</f>
        <v>2480.11</v>
      </c>
    </row>
    <row r="144" spans="1:27" ht="57" x14ac:dyDescent="0.2">
      <c r="A144" s="40">
        <v>13</v>
      </c>
      <c r="B144" s="40" t="str">
        <f>Source!E75</f>
        <v>13</v>
      </c>
      <c r="C144" s="41" t="str">
        <f>Source!F75</f>
        <v>5.1-161-1</v>
      </c>
      <c r="D144" s="41" t="s">
        <v>144</v>
      </c>
      <c r="E144" s="42" t="str">
        <f>Source!H75</f>
        <v>измерение</v>
      </c>
      <c r="F144" s="10">
        <f>Source!I75</f>
        <v>9</v>
      </c>
      <c r="G144" s="44"/>
      <c r="H144" s="43"/>
      <c r="I144" s="10"/>
      <c r="J144" s="45"/>
      <c r="K144" s="10"/>
      <c r="L144" s="45"/>
      <c r="Q144">
        <f>ROUND((Source!DN75/100)*ROUND((ROUND((Source!AF75*Source!AV75*Source!I75),2)),2), 2)</f>
        <v>200</v>
      </c>
      <c r="R144">
        <f>Source!X75</f>
        <v>4500.75</v>
      </c>
      <c r="S144">
        <f>ROUND((Source!DO75/100)*ROUND((ROUND((Source!AF75*Source!AV75*Source!I75),2)),2), 2)</f>
        <v>186.67</v>
      </c>
      <c r="T144">
        <f>Source!Y75</f>
        <v>2713.69</v>
      </c>
      <c r="U144">
        <f>ROUND((175/100)*ROUND((ROUND((Source!AE75*Source!AV75*Source!I75),2)),2), 2)</f>
        <v>0</v>
      </c>
      <c r="V144">
        <f>ROUND((157/100)*ROUND(ROUND((ROUND((Source!AE75*Source!AV75*Source!I75),2)*Source!BS75),2), 2), 2)</f>
        <v>0</v>
      </c>
    </row>
    <row r="145" spans="1:27" ht="28.5" x14ac:dyDescent="0.2">
      <c r="A145" s="40"/>
      <c r="B145" s="40"/>
      <c r="C145" s="41"/>
      <c r="D145" s="41" t="s">
        <v>202</v>
      </c>
      <c r="E145" s="42"/>
      <c r="F145" s="10"/>
      <c r="G145" s="44">
        <f>Source!AO75</f>
        <v>28.49</v>
      </c>
      <c r="H145" s="43" t="str">
        <f>Source!DG75</f>
        <v>)*1,3)*0,8</v>
      </c>
      <c r="I145" s="10">
        <f>Source!AV75</f>
        <v>1</v>
      </c>
      <c r="J145" s="45">
        <f>ROUND((ROUND((Source!AF75*Source!AV75*Source!I75),2)),2)</f>
        <v>266.67</v>
      </c>
      <c r="K145" s="10">
        <f>IF(Source!BA75&lt;&gt; 0, Source!BA75, 1)</f>
        <v>24.82</v>
      </c>
      <c r="L145" s="45">
        <f>Source!S75</f>
        <v>6618.75</v>
      </c>
      <c r="W145">
        <f>J145</f>
        <v>266.67</v>
      </c>
    </row>
    <row r="146" spans="1:27" ht="14.25" x14ac:dyDescent="0.2">
      <c r="A146" s="40"/>
      <c r="B146" s="40"/>
      <c r="C146" s="41"/>
      <c r="D146" s="41" t="s">
        <v>205</v>
      </c>
      <c r="E146" s="42" t="s">
        <v>206</v>
      </c>
      <c r="F146" s="10">
        <f>Source!DN75</f>
        <v>75</v>
      </c>
      <c r="G146" s="44"/>
      <c r="H146" s="43"/>
      <c r="I146" s="10"/>
      <c r="J146" s="45">
        <f>SUM(Q144:Q145)</f>
        <v>200</v>
      </c>
      <c r="K146" s="10">
        <f>Source!BZ75</f>
        <v>68</v>
      </c>
      <c r="L146" s="45">
        <f>SUM(R144:R145)</f>
        <v>4500.75</v>
      </c>
    </row>
    <row r="147" spans="1:27" ht="14.25" x14ac:dyDescent="0.2">
      <c r="A147" s="40"/>
      <c r="B147" s="40"/>
      <c r="C147" s="41"/>
      <c r="D147" s="41" t="s">
        <v>207</v>
      </c>
      <c r="E147" s="42" t="s">
        <v>206</v>
      </c>
      <c r="F147" s="10">
        <f>Source!DO75</f>
        <v>70</v>
      </c>
      <c r="G147" s="44"/>
      <c r="H147" s="43"/>
      <c r="I147" s="10"/>
      <c r="J147" s="45">
        <f>SUM(S144:S146)</f>
        <v>186.67</v>
      </c>
      <c r="K147" s="10">
        <f>Source!CA75</f>
        <v>41</v>
      </c>
      <c r="L147" s="45">
        <f>SUM(T144:T146)</f>
        <v>2713.69</v>
      </c>
    </row>
    <row r="148" spans="1:27" ht="28.5" x14ac:dyDescent="0.2">
      <c r="A148" s="40"/>
      <c r="B148" s="40"/>
      <c r="C148" s="41"/>
      <c r="D148" s="41" t="s">
        <v>209</v>
      </c>
      <c r="E148" s="42" t="s">
        <v>210</v>
      </c>
      <c r="F148" s="10">
        <f>Source!AQ75</f>
        <v>1.8</v>
      </c>
      <c r="G148" s="44"/>
      <c r="H148" s="43" t="str">
        <f>Source!DI75</f>
        <v>)*1,3)*0,8</v>
      </c>
      <c r="I148" s="10">
        <f>Source!AV75</f>
        <v>1</v>
      </c>
      <c r="J148" s="45">
        <f>Source!U75</f>
        <v>16.848000000000003</v>
      </c>
      <c r="K148" s="10"/>
      <c r="L148" s="45"/>
    </row>
    <row r="149" spans="1:27" ht="15" x14ac:dyDescent="0.25">
      <c r="A149" s="50"/>
      <c r="B149" s="50"/>
      <c r="C149" s="50"/>
      <c r="D149" s="50"/>
      <c r="E149" s="50"/>
      <c r="F149" s="50"/>
      <c r="G149" s="50"/>
      <c r="H149" s="50"/>
      <c r="I149" s="51">
        <f>J145+J146+J147</f>
        <v>653.34</v>
      </c>
      <c r="J149" s="51"/>
      <c r="K149" s="51">
        <f>L145+L146+L147</f>
        <v>13833.19</v>
      </c>
      <c r="L149" s="51"/>
      <c r="O149" s="47">
        <f>J145+J146+J147</f>
        <v>653.34</v>
      </c>
      <c r="P149" s="47">
        <f>L145+L146+L147</f>
        <v>13833.19</v>
      </c>
      <c r="X149">
        <f>IF(Source!BI75&lt;=1,J145+J146+J147-0, 0)</f>
        <v>0</v>
      </c>
      <c r="Y149">
        <f>IF(Source!BI75=2,J145+J146+J147-0, 0)</f>
        <v>0</v>
      </c>
      <c r="Z149">
        <f>IF(Source!BI75=3,J145+J146+J147-0, 0)</f>
        <v>0</v>
      </c>
      <c r="AA149">
        <f>IF(Source!BI75=4,J145+J146+J147,0)</f>
        <v>653.34</v>
      </c>
    </row>
    <row r="151" spans="1:27" ht="15" x14ac:dyDescent="0.25">
      <c r="A151" s="55" t="str">
        <f>CONCATENATE("Итого по разделу: ",IF(Source!G77&lt;&gt;"Новый раздел", Source!G77, ""))</f>
        <v>Итого по разделу: Пусконаладочные работы</v>
      </c>
      <c r="B151" s="55"/>
      <c r="C151" s="55"/>
      <c r="D151" s="55"/>
      <c r="E151" s="55"/>
      <c r="F151" s="55"/>
      <c r="G151" s="55"/>
      <c r="H151" s="55"/>
      <c r="I151" s="49">
        <f>SUM(O107:O150)</f>
        <v>8034.5399999999991</v>
      </c>
      <c r="J151" s="54"/>
      <c r="K151" s="49">
        <f>SUM(P107:P150)</f>
        <v>170114.96000000002</v>
      </c>
      <c r="L151" s="54"/>
    </row>
    <row r="152" spans="1:27" hidden="1" x14ac:dyDescent="0.2">
      <c r="A152" t="s">
        <v>212</v>
      </c>
      <c r="I152">
        <f>SUM(AC107:AC151)</f>
        <v>0</v>
      </c>
      <c r="K152">
        <f>SUM(AD107:AD151)</f>
        <v>0</v>
      </c>
    </row>
    <row r="153" spans="1:27" hidden="1" x14ac:dyDescent="0.2">
      <c r="A153" t="s">
        <v>213</v>
      </c>
      <c r="I153">
        <f>SUM(AE107:AE152)</f>
        <v>0</v>
      </c>
      <c r="K153">
        <f>SUM(AF107:AF152)</f>
        <v>0</v>
      </c>
    </row>
    <row r="155" spans="1:27" ht="16.5" x14ac:dyDescent="0.25">
      <c r="A155" s="39" t="str">
        <f>CONCATENATE("Раздел: ",IF(Source!G107&lt;&gt;"Новый раздел", Source!G107, ""))</f>
        <v>Раздел: Оборудование и материалы, не учтенные ценником.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1:27" ht="57" x14ac:dyDescent="0.2">
      <c r="A156" s="40">
        <v>14</v>
      </c>
      <c r="B156" s="40" t="str">
        <f>Source!E111</f>
        <v>14</v>
      </c>
      <c r="C156" s="41" t="str">
        <f>Source!F111</f>
        <v>Накладная №12 от 18.07.2019.</v>
      </c>
      <c r="D156" s="41" t="s">
        <v>149</v>
      </c>
      <c r="E156" s="42" t="str">
        <f>Source!H111</f>
        <v>КОМПЛЕКТ из 8 ячеек</v>
      </c>
      <c r="F156" s="10">
        <f>Source!I111</f>
        <v>1</v>
      </c>
      <c r="G156" s="44">
        <f>Source!AL111</f>
        <v>634413.36</v>
      </c>
      <c r="H156" s="43" t="str">
        <f>Source!DD111</f>
        <v/>
      </c>
      <c r="I156" s="10">
        <f>Source!AW111</f>
        <v>1</v>
      </c>
      <c r="J156" s="45">
        <f>ROUND((ROUND((Source!AC111*Source!AW111*Source!I111),2)),2)</f>
        <v>634413.36</v>
      </c>
      <c r="K156" s="10">
        <f>IF(Source!BC111&lt;&gt; 0, Source!BC111, 1)</f>
        <v>1</v>
      </c>
      <c r="L156" s="45">
        <f>Source!P111</f>
        <v>634413.36</v>
      </c>
      <c r="Q156">
        <f>ROUND((Source!DN111/100)*ROUND((ROUND((Source!AF111*Source!AV111*Source!I111),2)),2), 2)</f>
        <v>0</v>
      </c>
      <c r="R156">
        <f>Source!X111</f>
        <v>0</v>
      </c>
      <c r="S156">
        <f>ROUND((Source!DO111/100)*ROUND((ROUND((Source!AF111*Source!AV111*Source!I111),2)),2), 2)</f>
        <v>0</v>
      </c>
      <c r="T156">
        <f>Source!Y111</f>
        <v>0</v>
      </c>
      <c r="U156">
        <f>ROUND((175/100)*ROUND((ROUND((Source!AE111*Source!AV111*Source!I111),2)),2), 2)</f>
        <v>0</v>
      </c>
      <c r="V156">
        <f>ROUND((157/100)*ROUND(ROUND((ROUND((Source!AE111*Source!AV111*Source!I111),2)*Source!BS111),2), 2), 2)</f>
        <v>0</v>
      </c>
    </row>
    <row r="157" spans="1:27" ht="15" x14ac:dyDescent="0.25">
      <c r="A157" s="50"/>
      <c r="B157" s="50"/>
      <c r="C157" s="50"/>
      <c r="D157" s="50"/>
      <c r="E157" s="50"/>
      <c r="F157" s="50"/>
      <c r="G157" s="50"/>
      <c r="H157" s="50"/>
      <c r="I157" s="51">
        <f>J156</f>
        <v>634413.36</v>
      </c>
      <c r="J157" s="51"/>
      <c r="K157" s="51">
        <f>L156</f>
        <v>634413.36</v>
      </c>
      <c r="L157" s="51"/>
      <c r="O157" s="47">
        <f>J156</f>
        <v>634413.36</v>
      </c>
      <c r="P157" s="47">
        <f>L156</f>
        <v>634413.36</v>
      </c>
      <c r="X157">
        <f>IF(Source!BI111&lt;=1,J156-0, 0)</f>
        <v>634413.36</v>
      </c>
      <c r="Y157">
        <f>IF(Source!BI111=2,J156-0, 0)</f>
        <v>0</v>
      </c>
      <c r="Z157">
        <f>IF(Source!BI111=3,J156-0, 0)</f>
        <v>0</v>
      </c>
      <c r="AA157">
        <f>IF(Source!BI111=4,J156,0)</f>
        <v>0</v>
      </c>
    </row>
    <row r="158" spans="1:27" ht="28.5" x14ac:dyDescent="0.2">
      <c r="A158" s="40">
        <v>15</v>
      </c>
      <c r="B158" s="40" t="str">
        <f>Source!E112</f>
        <v>15</v>
      </c>
      <c r="C158" s="41" t="str">
        <f>Source!F112</f>
        <v>1.23-16-1</v>
      </c>
      <c r="D158" s="41" t="s">
        <v>156</v>
      </c>
      <c r="E158" s="42" t="str">
        <f>Source!H112</f>
        <v>т</v>
      </c>
      <c r="F158" s="10">
        <f>Source!I112</f>
        <v>4.3999999999999997E-2</v>
      </c>
      <c r="G158" s="44">
        <f>Source!AL112</f>
        <v>31290.95</v>
      </c>
      <c r="H158" s="43" t="str">
        <f>Source!DD112</f>
        <v/>
      </c>
      <c r="I158" s="10">
        <f>Source!AW112</f>
        <v>1</v>
      </c>
      <c r="J158" s="45">
        <f>ROUND((ROUND((Source!AC112*Source!AW112*Source!I112),2)),2)</f>
        <v>1376.8</v>
      </c>
      <c r="K158" s="10">
        <f>IF(Source!BC112&lt;&gt; 0, Source!BC112, 1)</f>
        <v>6.97</v>
      </c>
      <c r="L158" s="45">
        <f>Source!P112</f>
        <v>9596.2999999999993</v>
      </c>
      <c r="Q158">
        <f>ROUND((Source!DN112/100)*ROUND((ROUND((Source!AF112*Source!AV112*Source!I112),2)),2), 2)</f>
        <v>0</v>
      </c>
      <c r="R158">
        <f>Source!X112</f>
        <v>0</v>
      </c>
      <c r="S158">
        <f>ROUND((Source!DO112/100)*ROUND((ROUND((Source!AF112*Source!AV112*Source!I112),2)),2), 2)</f>
        <v>0</v>
      </c>
      <c r="T158">
        <f>Source!Y112</f>
        <v>0</v>
      </c>
      <c r="U158">
        <f>ROUND((175/100)*ROUND((ROUND((Source!AE112*Source!AV112*Source!I112),2)),2), 2)</f>
        <v>0</v>
      </c>
      <c r="V158">
        <f>ROUND((157/100)*ROUND(ROUND((ROUND((Source!AE112*Source!AV112*Source!I112),2)*Source!BS112),2), 2), 2)</f>
        <v>0</v>
      </c>
    </row>
    <row r="159" spans="1:27" ht="15" x14ac:dyDescent="0.25">
      <c r="A159" s="50"/>
      <c r="B159" s="50"/>
      <c r="C159" s="50"/>
      <c r="D159" s="50"/>
      <c r="E159" s="50"/>
      <c r="F159" s="50"/>
      <c r="G159" s="50"/>
      <c r="H159" s="50"/>
      <c r="I159" s="51">
        <f>J158</f>
        <v>1376.8</v>
      </c>
      <c r="J159" s="51"/>
      <c r="K159" s="51">
        <f>L158</f>
        <v>9596.2999999999993</v>
      </c>
      <c r="L159" s="51"/>
      <c r="O159" s="47">
        <f>J158</f>
        <v>1376.8</v>
      </c>
      <c r="P159" s="47">
        <f>L158</f>
        <v>9596.2999999999993</v>
      </c>
      <c r="X159">
        <f>IF(Source!BI112&lt;=1,J158-0, 0)</f>
        <v>0</v>
      </c>
      <c r="Y159">
        <f>IF(Source!BI112=2,J158-0, 0)</f>
        <v>1376.8</v>
      </c>
      <c r="Z159">
        <f>IF(Source!BI112=3,J158-0, 0)</f>
        <v>0</v>
      </c>
      <c r="AA159">
        <f>IF(Source!BI112=4,J158,0)</f>
        <v>0</v>
      </c>
    </row>
    <row r="161" spans="1:38" ht="15" x14ac:dyDescent="0.25">
      <c r="A161" s="55" t="str">
        <f>CONCATENATE("Итого по разделу: ",IF(Source!G114&lt;&gt;"Новый раздел", Source!G114, ""))</f>
        <v>Итого по разделу: Оборудование и материалы, не учтенные ценником.</v>
      </c>
      <c r="B161" s="55"/>
      <c r="C161" s="55"/>
      <c r="D161" s="55"/>
      <c r="E161" s="55"/>
      <c r="F161" s="55"/>
      <c r="G161" s="55"/>
      <c r="H161" s="55"/>
      <c r="I161" s="49">
        <f>SUM(O155:O160)</f>
        <v>635790.16</v>
      </c>
      <c r="J161" s="54"/>
      <c r="K161" s="49">
        <f>SUM(P155:P160)</f>
        <v>644009.66</v>
      </c>
      <c r="L161" s="54"/>
    </row>
    <row r="162" spans="1:38" hidden="1" x14ac:dyDescent="0.2">
      <c r="A162" t="s">
        <v>212</v>
      </c>
      <c r="I162">
        <f>SUM(AC155:AC161)</f>
        <v>0</v>
      </c>
      <c r="K162">
        <f>SUM(AD155:AD161)</f>
        <v>0</v>
      </c>
    </row>
    <row r="163" spans="1:38" hidden="1" x14ac:dyDescent="0.2">
      <c r="A163" t="s">
        <v>213</v>
      </c>
      <c r="I163">
        <f>SUM(AE155:AE162)</f>
        <v>0</v>
      </c>
      <c r="K163">
        <f>SUM(AF155:AF162)</f>
        <v>0</v>
      </c>
    </row>
    <row r="165" spans="1:38" ht="15" x14ac:dyDescent="0.25">
      <c r="A165" s="55" t="str">
        <f>CONCATENATE("Итого по локальной смете: ",IF(Source!G144&lt;&gt;"Новая локальная смета", Source!G144, ""))</f>
        <v>Итого по локальной смете: ТП-502. Реконструкция. Замена 8 ячеек РУ-10 кВ.</v>
      </c>
      <c r="B165" s="55"/>
      <c r="C165" s="55"/>
      <c r="D165" s="55"/>
      <c r="E165" s="55"/>
      <c r="F165" s="55"/>
      <c r="G165" s="55"/>
      <c r="H165" s="55"/>
      <c r="I165" s="49">
        <f>SUM(O41:O164)</f>
        <v>666821.04</v>
      </c>
      <c r="J165" s="54"/>
      <c r="K165" s="49">
        <f>SUM(P41:P164)</f>
        <v>1205006.1599999999</v>
      </c>
      <c r="L165" s="54"/>
      <c r="AL165" s="56" t="str">
        <f>CONCATENATE("Итого по локальной смете: ",IF(Source!G144&lt;&gt;"Новая локальная смета", Source!G144, ""))</f>
        <v>Итого по локальной смете: ТП-502. Реконструкция. Замена 8 ячеек РУ-10 кВ.</v>
      </c>
    </row>
    <row r="166" spans="1:38" hidden="1" x14ac:dyDescent="0.2">
      <c r="A166" t="s">
        <v>212</v>
      </c>
      <c r="I166">
        <f>SUM(AC41:AC165)</f>
        <v>0</v>
      </c>
      <c r="K166">
        <f>SUM(AD41:AD165)</f>
        <v>0</v>
      </c>
    </row>
    <row r="167" spans="1:38" hidden="1" x14ac:dyDescent="0.2">
      <c r="A167" t="s">
        <v>213</v>
      </c>
      <c r="I167">
        <f>SUM(AE41:AE166)</f>
        <v>0</v>
      </c>
      <c r="K167">
        <f>SUM(AF41:AF166)</f>
        <v>0</v>
      </c>
    </row>
    <row r="169" spans="1:38" ht="15" x14ac:dyDescent="0.25">
      <c r="A169" s="55" t="str">
        <f>CONCATENATE("Итого по смете: ",IF(Source!G174&lt;&gt;"Новый объект", Source!G174, ""))</f>
        <v>Итого по смете: ТП-502. Реконструкция. Замена 8 ячеек РУ-10 кВ.</v>
      </c>
      <c r="B169" s="55"/>
      <c r="C169" s="55"/>
      <c r="D169" s="55"/>
      <c r="E169" s="55"/>
      <c r="F169" s="55"/>
      <c r="G169" s="55"/>
      <c r="H169" s="55"/>
      <c r="I169" s="49">
        <f>SUM(O1:O168)</f>
        <v>666821.04</v>
      </c>
      <c r="J169" s="54"/>
      <c r="K169" s="49">
        <f>SUM(P1:P168)</f>
        <v>1205006.1599999999</v>
      </c>
      <c r="L169" s="54"/>
      <c r="AL169" s="56" t="str">
        <f>CONCATENATE("Итого по смете: ",IF(Source!G174&lt;&gt;"Новый объект", Source!G174, ""))</f>
        <v>Итого по смете: ТП-502. Реконструкция. Замена 8 ячеек РУ-10 кВ.</v>
      </c>
    </row>
    <row r="170" spans="1:38" hidden="1" x14ac:dyDescent="0.2">
      <c r="A170" t="s">
        <v>212</v>
      </c>
      <c r="I170">
        <f>SUM(AC1:AC169)</f>
        <v>0</v>
      </c>
      <c r="K170">
        <f>SUM(AD1:AD169)</f>
        <v>0</v>
      </c>
    </row>
    <row r="171" spans="1:38" hidden="1" x14ac:dyDescent="0.2">
      <c r="A171" t="s">
        <v>213</v>
      </c>
      <c r="I171">
        <f>SUM(AE1:AE170)</f>
        <v>0</v>
      </c>
      <c r="K171">
        <f>SUM(AF1:AF170)</f>
        <v>0</v>
      </c>
    </row>
    <row r="172" spans="1:38" ht="14.25" x14ac:dyDescent="0.2">
      <c r="D172" s="28" t="str">
        <f>Source!H203</f>
        <v>Итого</v>
      </c>
      <c r="E172" s="28"/>
      <c r="F172" s="28"/>
      <c r="G172" s="28"/>
      <c r="H172" s="28"/>
      <c r="I172" s="28"/>
      <c r="J172" s="28"/>
      <c r="K172" s="48">
        <f>IF(Source!F203=0, "", Source!F203)</f>
        <v>1205006.1599999999</v>
      </c>
      <c r="L172" s="48"/>
    </row>
    <row r="173" spans="1:38" ht="14.25" x14ac:dyDescent="0.2">
      <c r="D173" s="28" t="str">
        <f>Source!H204</f>
        <v>НДС 20%</v>
      </c>
      <c r="E173" s="28"/>
      <c r="F173" s="28"/>
      <c r="G173" s="28"/>
      <c r="H173" s="28"/>
      <c r="I173" s="28"/>
      <c r="J173" s="28"/>
      <c r="K173" s="48">
        <f>IF(Source!F204=0, "", Source!F204)</f>
        <v>241001.23</v>
      </c>
      <c r="L173" s="48"/>
    </row>
    <row r="174" spans="1:38" ht="14.25" x14ac:dyDescent="0.2">
      <c r="D174" s="28" t="str">
        <f>Source!H205</f>
        <v>Итого с НДС</v>
      </c>
      <c r="E174" s="28"/>
      <c r="F174" s="28"/>
      <c r="G174" s="28"/>
      <c r="H174" s="28"/>
      <c r="I174" s="28"/>
      <c r="J174" s="28"/>
      <c r="K174" s="48">
        <f>IF(Source!F205=0, "", Source!F205)</f>
        <v>1446007.39</v>
      </c>
      <c r="L174" s="48"/>
    </row>
    <row r="177" spans="1:11" ht="14.25" x14ac:dyDescent="0.2">
      <c r="A177" s="11"/>
      <c r="B177" s="57" t="s">
        <v>250</v>
      </c>
      <c r="C177" s="57"/>
      <c r="D177" s="58" t="str">
        <f>IF(Source!AM12&lt;&gt;"", Source!AM12," ")</f>
        <v xml:space="preserve"> </v>
      </c>
      <c r="E177" s="58"/>
      <c r="F177" s="58"/>
      <c r="G177" s="58"/>
      <c r="H177" s="58"/>
      <c r="I177" s="14" t="str">
        <f>IF(Source!AL12&lt;&gt;"", Source!AL12," ")</f>
        <v xml:space="preserve"> </v>
      </c>
      <c r="J177" s="14"/>
      <c r="K177" s="14"/>
    </row>
    <row r="178" spans="1:11" ht="14.25" x14ac:dyDescent="0.2">
      <c r="A178" s="11"/>
      <c r="B178" s="11"/>
      <c r="C178" s="11"/>
      <c r="D178" s="22" t="s">
        <v>216</v>
      </c>
      <c r="E178" s="22"/>
      <c r="F178" s="22"/>
      <c r="G178" s="22"/>
      <c r="H178" s="22"/>
      <c r="I178" s="11"/>
      <c r="J178" s="11"/>
      <c r="K178" s="11"/>
    </row>
    <row r="179" spans="1:11" ht="14.25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4.25" x14ac:dyDescent="0.2">
      <c r="A180" s="11"/>
      <c r="B180" s="57" t="s">
        <v>251</v>
      </c>
      <c r="C180" s="57"/>
      <c r="D180" s="58" t="str">
        <f>IF(Source!AI12&lt;&gt;"", Source!AI12," ")</f>
        <v>Директор</v>
      </c>
      <c r="E180" s="58"/>
      <c r="F180" s="58"/>
      <c r="G180" s="58"/>
      <c r="H180" s="58"/>
      <c r="I180" s="14" t="str">
        <f>IF(Source!AH12&lt;&gt;"", Source!AH12," ")</f>
        <v>А.П. Воробьева</v>
      </c>
      <c r="J180" s="14"/>
      <c r="K180" s="14"/>
    </row>
    <row r="181" spans="1:11" ht="14.25" x14ac:dyDescent="0.2">
      <c r="A181" s="11"/>
      <c r="B181" s="11"/>
      <c r="C181" s="11"/>
      <c r="D181" s="22" t="s">
        <v>216</v>
      </c>
      <c r="E181" s="22"/>
      <c r="F181" s="22"/>
      <c r="G181" s="22"/>
      <c r="H181" s="22"/>
      <c r="I181" s="11"/>
      <c r="J181" s="11"/>
      <c r="K181" s="11"/>
    </row>
  </sheetData>
  <mergeCells count="108">
    <mergeCell ref="D181:H181"/>
    <mergeCell ref="D174:J174"/>
    <mergeCell ref="K174:L174"/>
    <mergeCell ref="B177:C177"/>
    <mergeCell ref="I177:K177"/>
    <mergeCell ref="D178:H178"/>
    <mergeCell ref="B180:C180"/>
    <mergeCell ref="I180:K180"/>
    <mergeCell ref="K169:L169"/>
    <mergeCell ref="I169:J169"/>
    <mergeCell ref="A169:H169"/>
    <mergeCell ref="D172:J172"/>
    <mergeCell ref="K172:L172"/>
    <mergeCell ref="D173:J173"/>
    <mergeCell ref="K173:L173"/>
    <mergeCell ref="K159:L159"/>
    <mergeCell ref="I159:J159"/>
    <mergeCell ref="K161:L161"/>
    <mergeCell ref="I161:J161"/>
    <mergeCell ref="A161:H161"/>
    <mergeCell ref="K165:L165"/>
    <mergeCell ref="I165:J165"/>
    <mergeCell ref="A165:H165"/>
    <mergeCell ref="K151:L151"/>
    <mergeCell ref="I151:J151"/>
    <mergeCell ref="A151:H151"/>
    <mergeCell ref="A155:L155"/>
    <mergeCell ref="K157:L157"/>
    <mergeCell ref="I157:J157"/>
    <mergeCell ref="K137:L137"/>
    <mergeCell ref="I137:J137"/>
    <mergeCell ref="K143:L143"/>
    <mergeCell ref="I143:J143"/>
    <mergeCell ref="K149:L149"/>
    <mergeCell ref="I149:J149"/>
    <mergeCell ref="K119:L119"/>
    <mergeCell ref="I119:J119"/>
    <mergeCell ref="K125:L125"/>
    <mergeCell ref="I125:J125"/>
    <mergeCell ref="K131:L131"/>
    <mergeCell ref="I131:J131"/>
    <mergeCell ref="K103:L103"/>
    <mergeCell ref="I103:J103"/>
    <mergeCell ref="A103:H103"/>
    <mergeCell ref="A107:L107"/>
    <mergeCell ref="K113:L113"/>
    <mergeCell ref="I113:J113"/>
    <mergeCell ref="K81:L81"/>
    <mergeCell ref="I81:J81"/>
    <mergeCell ref="K90:L90"/>
    <mergeCell ref="I90:J90"/>
    <mergeCell ref="K101:L101"/>
    <mergeCell ref="I101:J101"/>
    <mergeCell ref="A42:L42"/>
    <mergeCell ref="K51:L51"/>
    <mergeCell ref="I51:J51"/>
    <mergeCell ref="K61:L61"/>
    <mergeCell ref="I61:J61"/>
    <mergeCell ref="K71:L71"/>
    <mergeCell ref="I71:J71"/>
    <mergeCell ref="I34:I39"/>
    <mergeCell ref="J34:J39"/>
    <mergeCell ref="K34:K39"/>
    <mergeCell ref="L34:L39"/>
    <mergeCell ref="A35:A39"/>
    <mergeCell ref="B35:B39"/>
    <mergeCell ref="A30:L30"/>
    <mergeCell ref="H32:I32"/>
    <mergeCell ref="A33:L33"/>
    <mergeCell ref="A34:B34"/>
    <mergeCell ref="C34:C39"/>
    <mergeCell ref="D34:D39"/>
    <mergeCell ref="E34:E39"/>
    <mergeCell ref="F34:F39"/>
    <mergeCell ref="G34:G39"/>
    <mergeCell ref="H34:H39"/>
    <mergeCell ref="H22:I22"/>
    <mergeCell ref="J22:L22"/>
    <mergeCell ref="G24:G26"/>
    <mergeCell ref="H24:H26"/>
    <mergeCell ref="I24:J25"/>
    <mergeCell ref="A29:L29"/>
    <mergeCell ref="C18:H18"/>
    <mergeCell ref="G19:I19"/>
    <mergeCell ref="J19:L19"/>
    <mergeCell ref="G20:H20"/>
    <mergeCell ref="J20:L20"/>
    <mergeCell ref="J21:L21"/>
    <mergeCell ref="C14:H14"/>
    <mergeCell ref="J14:L15"/>
    <mergeCell ref="C15:H15"/>
    <mergeCell ref="C16:H16"/>
    <mergeCell ref="J16:L17"/>
    <mergeCell ref="C17:H17"/>
    <mergeCell ref="J8:L9"/>
    <mergeCell ref="C9:H9"/>
    <mergeCell ref="C10:H10"/>
    <mergeCell ref="J10:L11"/>
    <mergeCell ref="C11:H11"/>
    <mergeCell ref="C12:H12"/>
    <mergeCell ref="J12:L13"/>
    <mergeCell ref="C13:H13"/>
    <mergeCell ref="I2:L2"/>
    <mergeCell ref="I3:L3"/>
    <mergeCell ref="I4:L4"/>
    <mergeCell ref="J6:L6"/>
    <mergeCell ref="H7:I7"/>
    <mergeCell ref="J7:L7"/>
  </mergeCells>
  <pageMargins left="0.4" right="0.2" top="0.2" bottom="0.4" header="0.2" footer="0.2"/>
  <pageSetup paperSize="9" scale="68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2.7109375" customWidth="1"/>
    <col min="10" max="11" width="11.140625" customWidth="1"/>
  </cols>
  <sheetData>
    <row r="1" spans="1:12" ht="14.25" x14ac:dyDescent="0.2">
      <c r="A1" s="86" t="str">
        <f>Source!B1</f>
        <v>Smeta.RU  (495) 974-1589</v>
      </c>
      <c r="B1" s="86"/>
      <c r="C1" s="86"/>
      <c r="D1" s="86"/>
      <c r="E1" s="11"/>
      <c r="F1" s="11"/>
      <c r="G1" s="11"/>
      <c r="H1" s="87" t="s">
        <v>252</v>
      </c>
      <c r="I1" s="87"/>
      <c r="J1" s="87"/>
      <c r="K1" s="87"/>
      <c r="L1" s="87"/>
    </row>
    <row r="2" spans="1:12" ht="14.25" x14ac:dyDescent="0.2">
      <c r="A2" s="11"/>
      <c r="B2" s="11"/>
      <c r="C2" s="11"/>
      <c r="D2" s="11"/>
      <c r="E2" s="11"/>
      <c r="F2" s="11"/>
      <c r="G2" s="11"/>
      <c r="H2" s="87" t="s">
        <v>219</v>
      </c>
      <c r="I2" s="87"/>
      <c r="J2" s="87"/>
      <c r="K2" s="87"/>
      <c r="L2" s="87"/>
    </row>
    <row r="3" spans="1:12" ht="14.25" x14ac:dyDescent="0.2">
      <c r="A3" s="11"/>
      <c r="B3" s="11"/>
      <c r="C3" s="11"/>
      <c r="D3" s="11"/>
      <c r="E3" s="11"/>
      <c r="F3" s="11"/>
      <c r="G3" s="11"/>
      <c r="H3" s="87" t="s">
        <v>220</v>
      </c>
      <c r="I3" s="87"/>
      <c r="J3" s="87"/>
      <c r="K3" s="87"/>
      <c r="L3" s="87"/>
    </row>
    <row r="4" spans="1:12" ht="14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88" t="s">
        <v>253</v>
      </c>
      <c r="L4" s="89"/>
    </row>
    <row r="5" spans="1:12" ht="14.25" x14ac:dyDescent="0.2">
      <c r="A5" s="11"/>
      <c r="B5" s="11"/>
      <c r="C5" s="11"/>
      <c r="D5" s="11"/>
      <c r="E5" s="11"/>
      <c r="F5" s="11"/>
      <c r="G5" s="11"/>
      <c r="H5" s="11"/>
      <c r="I5" s="20" t="s">
        <v>222</v>
      </c>
      <c r="J5" s="20"/>
      <c r="K5" s="88">
        <v>322001</v>
      </c>
      <c r="L5" s="89"/>
    </row>
    <row r="6" spans="1:12" ht="14.25" x14ac:dyDescent="0.2">
      <c r="A6" s="20" t="s">
        <v>254</v>
      </c>
      <c r="B6" s="20"/>
      <c r="C6" s="90"/>
      <c r="D6" s="90"/>
      <c r="E6" s="90"/>
      <c r="F6" s="90"/>
      <c r="G6" s="90"/>
      <c r="H6" s="90"/>
      <c r="I6" s="90"/>
      <c r="J6" s="10" t="s">
        <v>225</v>
      </c>
      <c r="K6" s="88"/>
      <c r="L6" s="89"/>
    </row>
    <row r="7" spans="1:12" ht="14.25" x14ac:dyDescent="0.2">
      <c r="A7" s="11"/>
      <c r="B7" s="11"/>
      <c r="C7" s="22" t="s">
        <v>226</v>
      </c>
      <c r="D7" s="22"/>
      <c r="E7" s="22"/>
      <c r="F7" s="22"/>
      <c r="G7" s="22"/>
      <c r="H7" s="22"/>
      <c r="I7" s="22"/>
      <c r="J7" s="11"/>
      <c r="K7" s="64"/>
      <c r="L7" s="91"/>
    </row>
    <row r="8" spans="1:12" ht="14.25" x14ac:dyDescent="0.2">
      <c r="A8" s="20" t="s">
        <v>255</v>
      </c>
      <c r="B8" s="20"/>
      <c r="C8" s="90"/>
      <c r="D8" s="90"/>
      <c r="E8" s="90"/>
      <c r="F8" s="90"/>
      <c r="G8" s="90"/>
      <c r="H8" s="90"/>
      <c r="I8" s="58"/>
      <c r="J8" s="10" t="s">
        <v>225</v>
      </c>
      <c r="K8" s="92"/>
      <c r="L8" s="93"/>
    </row>
    <row r="9" spans="1:12" ht="14.25" x14ac:dyDescent="0.2">
      <c r="A9" s="11"/>
      <c r="B9" s="11"/>
      <c r="C9" s="22" t="s">
        <v>226</v>
      </c>
      <c r="D9" s="22"/>
      <c r="E9" s="22"/>
      <c r="F9" s="22"/>
      <c r="G9" s="22"/>
      <c r="H9" s="22"/>
      <c r="I9" s="22"/>
      <c r="J9" s="11"/>
      <c r="K9" s="64"/>
      <c r="L9" s="91"/>
    </row>
    <row r="10" spans="1:12" ht="14.25" x14ac:dyDescent="0.2">
      <c r="A10" s="20" t="s">
        <v>256</v>
      </c>
      <c r="B10" s="20"/>
      <c r="C10" s="90"/>
      <c r="D10" s="90"/>
      <c r="E10" s="90"/>
      <c r="F10" s="90"/>
      <c r="G10" s="90"/>
      <c r="H10" s="90"/>
      <c r="I10" s="90"/>
      <c r="J10" s="10" t="s">
        <v>225</v>
      </c>
      <c r="K10" s="92"/>
      <c r="L10" s="93"/>
    </row>
    <row r="11" spans="1:12" ht="14.25" x14ac:dyDescent="0.2">
      <c r="A11" s="11"/>
      <c r="B11" s="11"/>
      <c r="C11" s="22" t="s">
        <v>226</v>
      </c>
      <c r="D11" s="22"/>
      <c r="E11" s="22"/>
      <c r="F11" s="22"/>
      <c r="G11" s="22"/>
      <c r="H11" s="22"/>
      <c r="I11" s="22"/>
      <c r="J11" s="11"/>
      <c r="K11" s="64"/>
      <c r="L11" s="91"/>
    </row>
    <row r="12" spans="1:12" ht="14.25" x14ac:dyDescent="0.2">
      <c r="A12" s="20" t="s">
        <v>257</v>
      </c>
      <c r="B12" s="20"/>
      <c r="C12" s="90"/>
      <c r="D12" s="90"/>
      <c r="E12" s="90"/>
      <c r="F12" s="90"/>
      <c r="G12" s="90"/>
      <c r="H12" s="90"/>
      <c r="I12" s="90"/>
      <c r="J12" s="10" t="s">
        <v>225</v>
      </c>
      <c r="K12" s="92"/>
      <c r="L12" s="93"/>
    </row>
    <row r="13" spans="1:12" ht="14.25" x14ac:dyDescent="0.2">
      <c r="A13" s="11"/>
      <c r="B13" s="11"/>
      <c r="C13" s="22" t="s">
        <v>230</v>
      </c>
      <c r="D13" s="22"/>
      <c r="E13" s="22"/>
      <c r="F13" s="22"/>
      <c r="G13" s="22"/>
      <c r="H13" s="20" t="s">
        <v>258</v>
      </c>
      <c r="I13" s="20"/>
      <c r="J13" s="61"/>
      <c r="K13" s="88"/>
      <c r="L13" s="89"/>
    </row>
    <row r="14" spans="1:12" ht="14.25" x14ac:dyDescent="0.2">
      <c r="A14" s="11"/>
      <c r="B14" s="11"/>
      <c r="C14" s="11"/>
      <c r="D14" s="11"/>
      <c r="E14" s="20" t="s">
        <v>259</v>
      </c>
      <c r="F14" s="20"/>
      <c r="G14" s="20"/>
      <c r="H14" s="20"/>
      <c r="I14" s="94" t="s">
        <v>235</v>
      </c>
      <c r="J14" s="95"/>
      <c r="K14" s="88"/>
      <c r="L14" s="89"/>
    </row>
    <row r="15" spans="1:12" ht="14.25" x14ac:dyDescent="0.2">
      <c r="A15" s="11"/>
      <c r="B15" s="11"/>
      <c r="C15" s="11"/>
      <c r="D15" s="11"/>
      <c r="E15" s="11"/>
      <c r="F15" s="11"/>
      <c r="G15" s="11"/>
      <c r="H15" s="11"/>
      <c r="I15" s="96" t="s">
        <v>236</v>
      </c>
      <c r="J15" s="97"/>
      <c r="K15" s="98"/>
      <c r="L15" s="99"/>
    </row>
    <row r="16" spans="1:12" ht="14.25" x14ac:dyDescent="0.2">
      <c r="A16" s="11"/>
      <c r="B16" s="11"/>
      <c r="C16" s="11"/>
      <c r="D16" s="11"/>
      <c r="E16" s="11"/>
      <c r="F16" s="11"/>
      <c r="G16" s="11"/>
      <c r="H16" s="11"/>
      <c r="I16" s="95" t="s">
        <v>260</v>
      </c>
      <c r="J16" s="95"/>
      <c r="K16" s="100"/>
      <c r="L16" s="101"/>
    </row>
    <row r="17" spans="1:12" ht="14.2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 x14ac:dyDescent="0.2">
      <c r="A19" s="11"/>
      <c r="B19" s="11"/>
      <c r="C19" s="102" t="s">
        <v>261</v>
      </c>
      <c r="D19" s="103"/>
      <c r="E19" s="102" t="s">
        <v>262</v>
      </c>
      <c r="F19" s="104"/>
      <c r="G19" s="11"/>
      <c r="H19" s="11"/>
      <c r="I19" s="102" t="s">
        <v>240</v>
      </c>
      <c r="J19" s="103"/>
      <c r="K19" s="103"/>
      <c r="L19" s="104"/>
    </row>
    <row r="20" spans="1:12" ht="14.25" x14ac:dyDescent="0.2">
      <c r="A20" s="11"/>
      <c r="B20" s="11"/>
      <c r="C20" s="105"/>
      <c r="D20" s="106"/>
      <c r="E20" s="105"/>
      <c r="F20" s="107"/>
      <c r="G20" s="11"/>
      <c r="H20" s="11"/>
      <c r="I20" s="108" t="s">
        <v>241</v>
      </c>
      <c r="J20" s="109"/>
      <c r="K20" s="108" t="s">
        <v>242</v>
      </c>
      <c r="L20" s="110"/>
    </row>
    <row r="21" spans="1:12" ht="14.25" x14ac:dyDescent="0.2">
      <c r="A21" s="11"/>
      <c r="B21" s="11"/>
      <c r="C21" s="111"/>
      <c r="D21" s="112"/>
      <c r="E21" s="113"/>
      <c r="F21" s="114"/>
      <c r="G21" s="115"/>
      <c r="H21" s="115"/>
      <c r="I21" s="113"/>
      <c r="J21" s="116"/>
      <c r="K21" s="113"/>
      <c r="L21" s="114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 x14ac:dyDescent="0.25">
      <c r="A24" s="79" t="s">
        <v>263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8" x14ac:dyDescent="0.25">
      <c r="A25" s="79" t="s">
        <v>264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4.2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 x14ac:dyDescent="0.2">
      <c r="A28" s="117" t="s">
        <v>265</v>
      </c>
      <c r="B28" s="117" t="s">
        <v>266</v>
      </c>
      <c r="C28" s="118"/>
      <c r="D28" s="118"/>
      <c r="E28" s="118"/>
      <c r="F28" s="117" t="s">
        <v>221</v>
      </c>
      <c r="G28" s="117" t="s">
        <v>267</v>
      </c>
      <c r="H28" s="118"/>
      <c r="I28" s="118"/>
      <c r="J28" s="118"/>
      <c r="K28" s="118"/>
      <c r="L28" s="119"/>
    </row>
    <row r="29" spans="1:12" x14ac:dyDescent="0.2">
      <c r="A29" s="120"/>
      <c r="B29" s="120"/>
      <c r="C29" s="121"/>
      <c r="D29" s="121"/>
      <c r="E29" s="121"/>
      <c r="F29" s="120"/>
      <c r="G29" s="117" t="s">
        <v>268</v>
      </c>
      <c r="H29" s="118"/>
      <c r="I29" s="117" t="s">
        <v>269</v>
      </c>
      <c r="J29" s="118"/>
      <c r="K29" s="117" t="s">
        <v>270</v>
      </c>
      <c r="L29" s="119"/>
    </row>
    <row r="30" spans="1:12" x14ac:dyDescent="0.2">
      <c r="A30" s="120"/>
      <c r="B30" s="120"/>
      <c r="C30" s="121"/>
      <c r="D30" s="121"/>
      <c r="E30" s="121"/>
      <c r="F30" s="120"/>
      <c r="G30" s="120"/>
      <c r="H30" s="121"/>
      <c r="I30" s="120"/>
      <c r="J30" s="121"/>
      <c r="K30" s="120"/>
      <c r="L30" s="122"/>
    </row>
    <row r="31" spans="1:12" x14ac:dyDescent="0.2">
      <c r="A31" s="120"/>
      <c r="B31" s="120"/>
      <c r="C31" s="121"/>
      <c r="D31" s="121"/>
      <c r="E31" s="121"/>
      <c r="F31" s="120"/>
      <c r="G31" s="120"/>
      <c r="H31" s="121"/>
      <c r="I31" s="120"/>
      <c r="J31" s="121"/>
      <c r="K31" s="120"/>
      <c r="L31" s="122"/>
    </row>
    <row r="32" spans="1:12" x14ac:dyDescent="0.2">
      <c r="A32" s="120"/>
      <c r="B32" s="120"/>
      <c r="C32" s="121"/>
      <c r="D32" s="121"/>
      <c r="E32" s="121"/>
      <c r="F32" s="120"/>
      <c r="G32" s="120"/>
      <c r="H32" s="121"/>
      <c r="I32" s="120"/>
      <c r="J32" s="121"/>
      <c r="K32" s="120"/>
      <c r="L32" s="122"/>
    </row>
    <row r="33" spans="1:12" ht="14.25" x14ac:dyDescent="0.2">
      <c r="A33" s="64">
        <v>1</v>
      </c>
      <c r="B33" s="88">
        <v>2</v>
      </c>
      <c r="C33" s="123"/>
      <c r="D33" s="123"/>
      <c r="E33" s="123"/>
      <c r="F33" s="64">
        <v>3</v>
      </c>
      <c r="G33" s="88">
        <v>4</v>
      </c>
      <c r="H33" s="123"/>
      <c r="I33" s="88">
        <v>5</v>
      </c>
      <c r="J33" s="123"/>
      <c r="K33" s="88">
        <v>6</v>
      </c>
      <c r="L33" s="89"/>
    </row>
    <row r="34" spans="1:12" ht="14.25" x14ac:dyDescent="0.2">
      <c r="A34" s="124"/>
      <c r="B34" s="125" t="s">
        <v>271</v>
      </c>
      <c r="C34" s="126"/>
      <c r="D34" s="126"/>
      <c r="E34" s="126"/>
      <c r="F34" s="127"/>
      <c r="G34" s="128"/>
      <c r="H34" s="129"/>
      <c r="I34" s="128"/>
      <c r="J34" s="129"/>
      <c r="K34" s="128"/>
      <c r="L34" s="130"/>
    </row>
    <row r="35" spans="1:12" ht="14.25" x14ac:dyDescent="0.2">
      <c r="A35" s="131"/>
      <c r="B35" s="132" t="s">
        <v>272</v>
      </c>
      <c r="C35" s="133"/>
      <c r="D35" s="133"/>
      <c r="E35" s="133"/>
      <c r="F35" s="133"/>
      <c r="G35" s="133"/>
      <c r="H35" s="133"/>
      <c r="I35" s="133"/>
      <c r="J35" s="133"/>
      <c r="K35" s="126"/>
      <c r="L35" s="134"/>
    </row>
    <row r="36" spans="1:12" ht="14.25" x14ac:dyDescent="0.2">
      <c r="A36" s="95" t="s">
        <v>161</v>
      </c>
      <c r="B36" s="95"/>
      <c r="C36" s="95"/>
      <c r="D36" s="95"/>
      <c r="E36" s="95"/>
      <c r="F36" s="95"/>
      <c r="G36" s="95"/>
      <c r="H36" s="95"/>
      <c r="I36" s="95"/>
      <c r="J36" s="135"/>
      <c r="K36" s="136"/>
      <c r="L36" s="135"/>
    </row>
    <row r="37" spans="1:12" ht="14.25" x14ac:dyDescent="0.2">
      <c r="A37" s="137" t="s">
        <v>273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8"/>
      <c r="L37" s="139"/>
    </row>
    <row r="38" spans="1:12" ht="14.25" x14ac:dyDescent="0.2">
      <c r="A38" s="137" t="s">
        <v>274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40"/>
      <c r="L38" s="141"/>
    </row>
    <row r="39" spans="1:12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4.25" x14ac:dyDescent="0.2">
      <c r="A42" s="142" t="s">
        <v>255</v>
      </c>
      <c r="B42" s="142"/>
      <c r="C42" s="143"/>
      <c r="D42" s="143"/>
      <c r="E42" s="143"/>
      <c r="F42" s="11"/>
      <c r="G42" s="143"/>
      <c r="H42" s="143"/>
      <c r="I42" s="11"/>
      <c r="J42" s="143"/>
      <c r="K42" s="143"/>
      <c r="L42" s="143"/>
    </row>
    <row r="43" spans="1:12" ht="14.25" x14ac:dyDescent="0.2">
      <c r="A43" s="11"/>
      <c r="B43" s="11"/>
      <c r="C43" s="144" t="s">
        <v>275</v>
      </c>
      <c r="D43" s="144"/>
      <c r="E43" s="144"/>
      <c r="F43" s="11"/>
      <c r="G43" s="144" t="s">
        <v>276</v>
      </c>
      <c r="H43" s="144"/>
      <c r="I43" s="11"/>
      <c r="J43" s="144" t="s">
        <v>277</v>
      </c>
      <c r="K43" s="144"/>
      <c r="L43" s="144"/>
    </row>
    <row r="44" spans="1:12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 x14ac:dyDescent="0.2">
      <c r="A45" s="10" t="s">
        <v>278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 x14ac:dyDescent="0.2">
      <c r="A49" s="142" t="s">
        <v>256</v>
      </c>
      <c r="B49" s="142"/>
      <c r="C49" s="143"/>
      <c r="D49" s="143"/>
      <c r="E49" s="143"/>
      <c r="F49" s="11"/>
      <c r="G49" s="143"/>
      <c r="H49" s="143"/>
      <c r="I49" s="11"/>
      <c r="J49" s="143"/>
      <c r="K49" s="143"/>
      <c r="L49" s="143"/>
    </row>
    <row r="50" spans="1:12" ht="14.25" x14ac:dyDescent="0.2">
      <c r="A50" s="11"/>
      <c r="B50" s="11"/>
      <c r="C50" s="144" t="s">
        <v>275</v>
      </c>
      <c r="D50" s="144"/>
      <c r="E50" s="144"/>
      <c r="F50" s="11"/>
      <c r="G50" s="144" t="s">
        <v>276</v>
      </c>
      <c r="H50" s="144"/>
      <c r="I50" s="11"/>
      <c r="J50" s="144" t="s">
        <v>277</v>
      </c>
      <c r="K50" s="144"/>
      <c r="L50" s="144"/>
    </row>
    <row r="51" spans="1:12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 x14ac:dyDescent="0.2">
      <c r="A52" s="10" t="s">
        <v>278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A49:B49"/>
    <mergeCell ref="C49:E49"/>
    <mergeCell ref="G49:H49"/>
    <mergeCell ref="J49:L49"/>
    <mergeCell ref="C50:E50"/>
    <mergeCell ref="G50:H50"/>
    <mergeCell ref="J50:L50"/>
    <mergeCell ref="A42:B42"/>
    <mergeCell ref="C42:E42"/>
    <mergeCell ref="G42:H42"/>
    <mergeCell ref="J42:L42"/>
    <mergeCell ref="C43:E43"/>
    <mergeCell ref="G43:H43"/>
    <mergeCell ref="J43:L43"/>
    <mergeCell ref="B35:L35"/>
    <mergeCell ref="A36:J36"/>
    <mergeCell ref="K36:L36"/>
    <mergeCell ref="A37:J37"/>
    <mergeCell ref="K37:L37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A28:A32"/>
    <mergeCell ref="B28:E32"/>
    <mergeCell ref="F28:F32"/>
    <mergeCell ref="G28:L28"/>
    <mergeCell ref="G29:H32"/>
    <mergeCell ref="I29:J32"/>
    <mergeCell ref="K29:L32"/>
    <mergeCell ref="C21:D21"/>
    <mergeCell ref="E21:F21"/>
    <mergeCell ref="I21:J21"/>
    <mergeCell ref="K21:L21"/>
    <mergeCell ref="A24:L24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13:G13"/>
    <mergeCell ref="H13:J13"/>
    <mergeCell ref="K13:L13"/>
    <mergeCell ref="E14:H14"/>
    <mergeCell ref="I14:J14"/>
    <mergeCell ref="K14:L14"/>
    <mergeCell ref="C9:I9"/>
    <mergeCell ref="A10:B10"/>
    <mergeCell ref="C10:I10"/>
    <mergeCell ref="K10:L10"/>
    <mergeCell ref="C11:I11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A1:D1"/>
    <mergeCell ref="H1:L1"/>
    <mergeCell ref="H2:L2"/>
    <mergeCell ref="H3:L3"/>
    <mergeCell ref="K4:L4"/>
    <mergeCell ref="I5:J5"/>
    <mergeCell ref="K5:L5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15"/>
  <sheetViews>
    <sheetView workbookViewId="0">
      <selection activeCell="I15" sqref="I1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210</v>
      </c>
      <c r="C12" s="1">
        <v>0</v>
      </c>
      <c r="D12" s="1">
        <f>ROW(A174)</f>
        <v>174</v>
      </c>
      <c r="E12" s="1">
        <v>0</v>
      </c>
      <c r="F12" s="1" t="s">
        <v>20</v>
      </c>
      <c r="G12" s="1" t="s">
        <v>20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B174</f>
        <v>210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ТП-502. Реконструкция. Замена 8 ячеек РУ-10 кВ.</v>
      </c>
      <c r="G18" s="2" t="str">
        <f t="shared" si="0"/>
        <v>ТП-502. Реконструкция. Замена 8 ячеек РУ-10 кВ.</v>
      </c>
      <c r="H18" s="2"/>
      <c r="I18" s="2"/>
      <c r="J18" s="2"/>
      <c r="K18" s="2"/>
      <c r="L18" s="2"/>
      <c r="M18" s="2"/>
      <c r="N18" s="2"/>
      <c r="O18" s="2">
        <f t="shared" ref="O18:AT18" si="1">O174</f>
        <v>914804.12</v>
      </c>
      <c r="P18" s="2">
        <f t="shared" si="1"/>
        <v>658486.76</v>
      </c>
      <c r="Q18" s="2">
        <f t="shared" si="1"/>
        <v>12439.76</v>
      </c>
      <c r="R18" s="2">
        <f t="shared" si="1"/>
        <v>6211.46</v>
      </c>
      <c r="S18" s="2">
        <f t="shared" si="1"/>
        <v>243877.6</v>
      </c>
      <c r="T18" s="2">
        <f t="shared" si="1"/>
        <v>0</v>
      </c>
      <c r="U18" s="2">
        <f t="shared" si="1"/>
        <v>728.24791919999996</v>
      </c>
      <c r="V18" s="2">
        <f t="shared" si="1"/>
        <v>0</v>
      </c>
      <c r="W18" s="2">
        <f t="shared" si="1"/>
        <v>0</v>
      </c>
      <c r="X18" s="2">
        <f t="shared" si="1"/>
        <v>180460.23</v>
      </c>
      <c r="Y18" s="2">
        <f t="shared" si="1"/>
        <v>99989.83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1205006.1599999999</v>
      </c>
      <c r="AS18" s="2">
        <f t="shared" si="1"/>
        <v>634413.36</v>
      </c>
      <c r="AT18" s="2">
        <f t="shared" si="1"/>
        <v>400477.84</v>
      </c>
      <c r="AU18" s="2">
        <f t="shared" ref="AU18:BZ18" si="2">AU174</f>
        <v>170114.96</v>
      </c>
      <c r="AV18" s="2">
        <f t="shared" si="2"/>
        <v>658486.76</v>
      </c>
      <c r="AW18" s="2">
        <f t="shared" si="2"/>
        <v>658486.76</v>
      </c>
      <c r="AX18" s="2">
        <f t="shared" si="2"/>
        <v>0</v>
      </c>
      <c r="AY18" s="2">
        <f t="shared" si="2"/>
        <v>658486.76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CA174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DG174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EM174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FS174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ROW(A144)</f>
        <v>144</v>
      </c>
      <c r="E20" s="1"/>
      <c r="F20" s="1" t="s">
        <v>19</v>
      </c>
      <c r="G20" s="1" t="s">
        <v>20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B144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ТП-502. Реконструкция. Замена 8 ячеек РУ-10 кВ.</v>
      </c>
      <c r="H22" s="2"/>
      <c r="I22" s="2"/>
      <c r="J22" s="2"/>
      <c r="K22" s="2"/>
      <c r="L22" s="2"/>
      <c r="M22" s="2"/>
      <c r="N22" s="2"/>
      <c r="O22" s="2">
        <f t="shared" ref="O22:AT22" si="8">O144</f>
        <v>914804.12</v>
      </c>
      <c r="P22" s="2">
        <f t="shared" si="8"/>
        <v>658486.76</v>
      </c>
      <c r="Q22" s="2">
        <f t="shared" si="8"/>
        <v>12439.76</v>
      </c>
      <c r="R22" s="2">
        <f t="shared" si="8"/>
        <v>6211.46</v>
      </c>
      <c r="S22" s="2">
        <f t="shared" si="8"/>
        <v>243877.6</v>
      </c>
      <c r="T22" s="2">
        <f t="shared" si="8"/>
        <v>0</v>
      </c>
      <c r="U22" s="2">
        <f t="shared" si="8"/>
        <v>728.24791919999996</v>
      </c>
      <c r="V22" s="2">
        <f t="shared" si="8"/>
        <v>0</v>
      </c>
      <c r="W22" s="2">
        <f t="shared" si="8"/>
        <v>0</v>
      </c>
      <c r="X22" s="2">
        <f t="shared" si="8"/>
        <v>180460.23</v>
      </c>
      <c r="Y22" s="2">
        <f t="shared" si="8"/>
        <v>99989.83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1205006.1599999999</v>
      </c>
      <c r="AS22" s="2">
        <f t="shared" si="8"/>
        <v>634413.36</v>
      </c>
      <c r="AT22" s="2">
        <f t="shared" si="8"/>
        <v>400477.84</v>
      </c>
      <c r="AU22" s="2">
        <f t="shared" ref="AU22:BZ22" si="9">AU144</f>
        <v>170114.96</v>
      </c>
      <c r="AV22" s="2">
        <f t="shared" si="9"/>
        <v>658486.76</v>
      </c>
      <c r="AW22" s="2">
        <f t="shared" si="9"/>
        <v>658486.76</v>
      </c>
      <c r="AX22" s="2">
        <f t="shared" si="9"/>
        <v>0</v>
      </c>
      <c r="AY22" s="2">
        <f t="shared" si="9"/>
        <v>658486.76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CA144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DG144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EM144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FS144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ROW(A35)</f>
        <v>35</v>
      </c>
      <c r="E24" s="1"/>
      <c r="F24" s="1" t="s">
        <v>21</v>
      </c>
      <c r="G24" s="1" t="s">
        <v>22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B35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Электромонтажные работы</v>
      </c>
      <c r="H26" s="2"/>
      <c r="I26" s="2"/>
      <c r="J26" s="2"/>
      <c r="K26" s="2"/>
      <c r="L26" s="2"/>
      <c r="M26" s="2"/>
      <c r="N26" s="2"/>
      <c r="O26" s="2">
        <f t="shared" ref="O26:AT26" si="15">O35</f>
        <v>189399.75</v>
      </c>
      <c r="P26" s="2">
        <f t="shared" si="15"/>
        <v>14477.1</v>
      </c>
      <c r="Q26" s="2">
        <f t="shared" si="15"/>
        <v>12439.76</v>
      </c>
      <c r="R26" s="2">
        <f t="shared" si="15"/>
        <v>6211.46</v>
      </c>
      <c r="S26" s="2">
        <f t="shared" si="15"/>
        <v>162482.89000000001</v>
      </c>
      <c r="T26" s="2">
        <f t="shared" si="15"/>
        <v>0</v>
      </c>
      <c r="U26" s="2">
        <f t="shared" si="15"/>
        <v>518.73991919999992</v>
      </c>
      <c r="V26" s="2">
        <f t="shared" si="15"/>
        <v>0</v>
      </c>
      <c r="W26" s="2">
        <f t="shared" si="15"/>
        <v>0</v>
      </c>
      <c r="X26" s="2">
        <f t="shared" si="15"/>
        <v>125111.82</v>
      </c>
      <c r="Y26" s="2">
        <f t="shared" si="15"/>
        <v>66617.990000000005</v>
      </c>
      <c r="Z26" s="2">
        <f t="shared" si="15"/>
        <v>0</v>
      </c>
      <c r="AA26" s="2">
        <f t="shared" si="15"/>
        <v>0</v>
      </c>
      <c r="AB26" s="2">
        <f t="shared" si="15"/>
        <v>189399.75</v>
      </c>
      <c r="AC26" s="2">
        <f t="shared" si="15"/>
        <v>14477.1</v>
      </c>
      <c r="AD26" s="2">
        <f t="shared" si="15"/>
        <v>12439.76</v>
      </c>
      <c r="AE26" s="2">
        <f t="shared" si="15"/>
        <v>6211.46</v>
      </c>
      <c r="AF26" s="2">
        <f t="shared" si="15"/>
        <v>162482.89000000001</v>
      </c>
      <c r="AG26" s="2">
        <f t="shared" si="15"/>
        <v>0</v>
      </c>
      <c r="AH26" s="2">
        <f t="shared" si="15"/>
        <v>518.73991919999992</v>
      </c>
      <c r="AI26" s="2">
        <f t="shared" si="15"/>
        <v>0</v>
      </c>
      <c r="AJ26" s="2">
        <f t="shared" si="15"/>
        <v>0</v>
      </c>
      <c r="AK26" s="2">
        <f t="shared" si="15"/>
        <v>125111.82</v>
      </c>
      <c r="AL26" s="2">
        <f t="shared" si="15"/>
        <v>66617.990000000005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390881.54</v>
      </c>
      <c r="AS26" s="2">
        <f t="shared" si="15"/>
        <v>0</v>
      </c>
      <c r="AT26" s="2">
        <f t="shared" si="15"/>
        <v>390881.54</v>
      </c>
      <c r="AU26" s="2">
        <f t="shared" ref="AU26:BZ26" si="16">AU35</f>
        <v>0</v>
      </c>
      <c r="AV26" s="2">
        <f t="shared" si="16"/>
        <v>14477.1</v>
      </c>
      <c r="AW26" s="2">
        <f t="shared" si="16"/>
        <v>14477.1</v>
      </c>
      <c r="AX26" s="2">
        <f t="shared" si="16"/>
        <v>0</v>
      </c>
      <c r="AY26" s="2">
        <f t="shared" si="16"/>
        <v>14477.1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CA35</f>
        <v>390881.54</v>
      </c>
      <c r="CB26" s="2">
        <f t="shared" si="17"/>
        <v>0</v>
      </c>
      <c r="CC26" s="2">
        <f t="shared" si="17"/>
        <v>390881.54</v>
      </c>
      <c r="CD26" s="2">
        <f t="shared" si="17"/>
        <v>0</v>
      </c>
      <c r="CE26" s="2">
        <f t="shared" si="17"/>
        <v>14477.1</v>
      </c>
      <c r="CF26" s="2">
        <f t="shared" si="17"/>
        <v>14477.1</v>
      </c>
      <c r="CG26" s="2">
        <f t="shared" si="17"/>
        <v>0</v>
      </c>
      <c r="CH26" s="2">
        <f t="shared" si="17"/>
        <v>14477.1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DG35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EM35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FS35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E28" t="s">
        <v>23</v>
      </c>
      <c r="F28" t="s">
        <v>24</v>
      </c>
      <c r="G28" t="s">
        <v>25</v>
      </c>
      <c r="H28" t="s">
        <v>26</v>
      </c>
      <c r="I28">
        <v>8</v>
      </c>
      <c r="J28">
        <v>0</v>
      </c>
      <c r="O28">
        <f t="shared" ref="O28:O33" si="21">ROUND(CP28,2)</f>
        <v>35521.279999999999</v>
      </c>
      <c r="P28">
        <f t="shared" ref="P28:P33" si="22">ROUND((ROUND((AC28*AW28*I28),2)*BC28),2)</f>
        <v>0</v>
      </c>
      <c r="Q28">
        <f>(ROUND((ROUND(((((ET28*1.2)*0.5))*AV28*I28),2)*BB28),2)+ROUND((ROUND(((AE28-(((EU28*1.2)*0.5)))*AV28*I28),2)*BS28),2))</f>
        <v>1519.62</v>
      </c>
      <c r="R28">
        <f t="shared" ref="R28:R33" si="23">ROUND((ROUND((AE28*AV28*I28),2)*BS28),2)</f>
        <v>980.39</v>
      </c>
      <c r="S28">
        <f t="shared" ref="S28:S33" si="24">ROUND((ROUND((AF28*AV28*I28),2)*BA28),2)</f>
        <v>34001.660000000003</v>
      </c>
      <c r="T28">
        <f t="shared" ref="T28:T33" si="25">ROUND(CU28*I28,2)</f>
        <v>0</v>
      </c>
      <c r="U28">
        <f t="shared" ref="U28:U33" si="26">CV28*I28</f>
        <v>108.55296</v>
      </c>
      <c r="V28">
        <f t="shared" ref="V28:V33" si="27">CW28*I28</f>
        <v>0</v>
      </c>
      <c r="W28">
        <f t="shared" ref="W28:W33" si="28">ROUND(CX28*I28,2)</f>
        <v>0</v>
      </c>
      <c r="X28">
        <f t="shared" ref="X28:Y33" si="29">ROUND(CY28,2)</f>
        <v>26181.279999999999</v>
      </c>
      <c r="Y28">
        <f t="shared" si="29"/>
        <v>13940.68</v>
      </c>
      <c r="AA28">
        <v>23646166</v>
      </c>
      <c r="AB28">
        <f t="shared" ref="AB28:AB33" si="30">ROUND((AC28+AD28+AF28),6)</f>
        <v>183.87</v>
      </c>
      <c r="AC28">
        <f>ROUND(((ES28*0)),6)</f>
        <v>0</v>
      </c>
      <c r="AD28">
        <f>ROUND((((((ET28*1.2)*0.5))-(((EU28*1.2)*0.5)))+AE28),6)</f>
        <v>20.315999999999999</v>
      </c>
      <c r="AE28">
        <f>ROUND((((EU28*1.2)*0.5)),6)</f>
        <v>4.7160000000000002</v>
      </c>
      <c r="AF28">
        <f>ROUND((((EV28*1.2)*0.5)),6)</f>
        <v>163.554</v>
      </c>
      <c r="AG28">
        <f t="shared" ref="AG28:AG33" si="31">ROUND((AP28),6)</f>
        <v>0</v>
      </c>
      <c r="AH28">
        <f>(((EW28*1.2)*0.5))</f>
        <v>12.96</v>
      </c>
      <c r="AI28">
        <f>(((EX28*1.2)*0.5))</f>
        <v>0</v>
      </c>
      <c r="AJ28">
        <f t="shared" ref="AJ28:AJ33" si="32">(AS28)</f>
        <v>0</v>
      </c>
      <c r="AK28">
        <v>315.55</v>
      </c>
      <c r="AL28">
        <v>9.1</v>
      </c>
      <c r="AM28">
        <v>33.86</v>
      </c>
      <c r="AN28">
        <v>7.86</v>
      </c>
      <c r="AO28">
        <v>272.58999999999997</v>
      </c>
      <c r="AP28">
        <v>0</v>
      </c>
      <c r="AQ28">
        <v>21.6</v>
      </c>
      <c r="AR28">
        <v>0</v>
      </c>
      <c r="AS28">
        <v>0</v>
      </c>
      <c r="AT28">
        <v>77</v>
      </c>
      <c r="AU28">
        <v>41</v>
      </c>
      <c r="AV28">
        <v>1.0469999999999999</v>
      </c>
      <c r="AW28">
        <v>1</v>
      </c>
      <c r="AZ28">
        <v>1</v>
      </c>
      <c r="BA28">
        <v>24.82</v>
      </c>
      <c r="BB28">
        <v>8.93</v>
      </c>
      <c r="BC28">
        <v>5.29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2</v>
      </c>
      <c r="BJ28" t="s">
        <v>27</v>
      </c>
      <c r="BM28">
        <v>317</v>
      </c>
      <c r="BN28">
        <v>0</v>
      </c>
      <c r="BO28" t="s">
        <v>24</v>
      </c>
      <c r="BP28">
        <v>1</v>
      </c>
      <c r="BQ28">
        <v>40</v>
      </c>
      <c r="BR28">
        <v>0</v>
      </c>
      <c r="BS28">
        <v>24.82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77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170</v>
      </c>
      <c r="CO28">
        <v>0</v>
      </c>
      <c r="CP28">
        <f t="shared" ref="CP28:CP33" si="33">(P28+Q28+S28)</f>
        <v>35521.280000000006</v>
      </c>
      <c r="CQ28">
        <f t="shared" ref="CQ28:CQ33" si="34">ROUND((ROUND((AC28*AW28*1),2)*BC28),2)</f>
        <v>0</v>
      </c>
      <c r="CR28">
        <f>(ROUND((ROUND(((((ET28*1.2)*0.5))*AV28*1),2)*BB28),2)+ROUND((ROUND(((AE28-(((EU28*1.2)*0.5)))*AV28*1),2)*BS28),2))</f>
        <v>189.94</v>
      </c>
      <c r="CS28">
        <f t="shared" ref="CS28:CS33" si="35">ROUND((ROUND((AE28*AV28*1),2)*BS28),2)</f>
        <v>122.61</v>
      </c>
      <c r="CT28">
        <f t="shared" ref="CT28:CT33" si="36">ROUND((ROUND((AF28*AV28*1),2)*BA28),2)</f>
        <v>4250.18</v>
      </c>
      <c r="CU28">
        <f t="shared" ref="CU28:CU33" si="37">AG28</f>
        <v>0</v>
      </c>
      <c r="CV28">
        <f t="shared" ref="CV28:CV33" si="38">(AH28*AV28)</f>
        <v>13.56912</v>
      </c>
      <c r="CW28">
        <f t="shared" ref="CW28:CX33" si="39">AI28</f>
        <v>0</v>
      </c>
      <c r="CX28">
        <f t="shared" si="39"/>
        <v>0</v>
      </c>
      <c r="CY28">
        <f t="shared" ref="CY28:CY33" si="40">S28*(BZ28/100)</f>
        <v>26181.278200000004</v>
      </c>
      <c r="CZ28">
        <f t="shared" ref="CZ28:CZ33" si="41">S28*(CA28/100)</f>
        <v>13940.680600000002</v>
      </c>
      <c r="DC28" t="s">
        <v>3</v>
      </c>
      <c r="DD28" t="s">
        <v>28</v>
      </c>
      <c r="DE28" t="s">
        <v>29</v>
      </c>
      <c r="DF28" t="s">
        <v>29</v>
      </c>
      <c r="DG28" t="s">
        <v>29</v>
      </c>
      <c r="DH28" t="s">
        <v>3</v>
      </c>
      <c r="DI28" t="s">
        <v>29</v>
      </c>
      <c r="DJ28" t="s">
        <v>29</v>
      </c>
      <c r="DK28" t="s">
        <v>3</v>
      </c>
      <c r="DL28" t="s">
        <v>3</v>
      </c>
      <c r="DM28" t="s">
        <v>3</v>
      </c>
      <c r="DN28">
        <v>114</v>
      </c>
      <c r="DO28">
        <v>67</v>
      </c>
      <c r="DP28">
        <v>1.0469999999999999</v>
      </c>
      <c r="DQ28">
        <v>1</v>
      </c>
      <c r="DU28">
        <v>1010</v>
      </c>
      <c r="DV28" t="s">
        <v>26</v>
      </c>
      <c r="DW28" t="s">
        <v>26</v>
      </c>
      <c r="DX28">
        <v>1</v>
      </c>
      <c r="DZ28" t="s">
        <v>3</v>
      </c>
      <c r="EA28" t="s">
        <v>3</v>
      </c>
      <c r="EB28" t="s">
        <v>3</v>
      </c>
      <c r="EC28" t="s">
        <v>3</v>
      </c>
      <c r="EE28">
        <v>22827158</v>
      </c>
      <c r="EF28">
        <v>40</v>
      </c>
      <c r="EG28" t="s">
        <v>30</v>
      </c>
      <c r="EH28">
        <v>0</v>
      </c>
      <c r="EI28" t="s">
        <v>3</v>
      </c>
      <c r="EJ28">
        <v>2</v>
      </c>
      <c r="EK28">
        <v>317</v>
      </c>
      <c r="EL28" t="s">
        <v>31</v>
      </c>
      <c r="EM28" t="s">
        <v>32</v>
      </c>
      <c r="EO28" t="s">
        <v>33</v>
      </c>
      <c r="EQ28">
        <v>0</v>
      </c>
      <c r="ER28">
        <v>315.55</v>
      </c>
      <c r="ES28">
        <v>9.1</v>
      </c>
      <c r="ET28">
        <v>33.86</v>
      </c>
      <c r="EU28">
        <v>7.86</v>
      </c>
      <c r="EV28">
        <v>272.58999999999997</v>
      </c>
      <c r="EW28">
        <v>21.6</v>
      </c>
      <c r="EX28">
        <v>0</v>
      </c>
      <c r="EY28">
        <v>0</v>
      </c>
      <c r="FQ28">
        <v>0</v>
      </c>
      <c r="FR28">
        <f t="shared" ref="FR28:FR33" si="42">ROUND(IF(AND(BH28=3,BI28=3),P28,0),2)</f>
        <v>0</v>
      </c>
      <c r="FS28">
        <v>0</v>
      </c>
      <c r="FX28">
        <v>114</v>
      </c>
      <c r="FY28">
        <v>67</v>
      </c>
      <c r="GA28" t="s">
        <v>3</v>
      </c>
      <c r="GD28">
        <v>0</v>
      </c>
      <c r="GF28">
        <v>1873681253</v>
      </c>
      <c r="GG28">
        <v>2</v>
      </c>
      <c r="GH28">
        <v>1</v>
      </c>
      <c r="GI28">
        <v>2</v>
      </c>
      <c r="GJ28">
        <v>0</v>
      </c>
      <c r="GK28">
        <f>ROUND(R28*(R12)/100,2)</f>
        <v>1539.21</v>
      </c>
      <c r="GL28">
        <f t="shared" ref="GL28:GL33" si="43">ROUND(IF(AND(BH28=3,BI28=3,FS28&lt;&gt;0),P28,0),2)</f>
        <v>0</v>
      </c>
      <c r="GM28">
        <f t="shared" ref="GM28:GM33" si="44">ROUND(O28+X28+Y28+GK28,2)+GX28</f>
        <v>77182.45</v>
      </c>
      <c r="GN28">
        <f t="shared" ref="GN28:GN33" si="45">IF(OR(BI28=0,BI28=1),ROUND(O28+X28+Y28+GK28,2),0)</f>
        <v>0</v>
      </c>
      <c r="GO28">
        <f t="shared" ref="GO28:GO33" si="46">IF(BI28=2,ROUND(O28+X28+Y28+GK28,2),0)</f>
        <v>77182.45</v>
      </c>
      <c r="GP28">
        <f t="shared" ref="GP28:GP33" si="47">IF(BI28=4,ROUND(O28+X28+Y28+GK28,2)+GX28,0)</f>
        <v>0</v>
      </c>
      <c r="GR28">
        <v>0</v>
      </c>
      <c r="GS28">
        <v>0</v>
      </c>
      <c r="GT28">
        <v>0</v>
      </c>
      <c r="GU28" t="s">
        <v>3</v>
      </c>
      <c r="GV28">
        <f t="shared" ref="GV28:GV33" si="48">ROUND((GT28),6)</f>
        <v>0</v>
      </c>
      <c r="GW28">
        <v>1</v>
      </c>
      <c r="GX28">
        <f t="shared" ref="GX28:GX33" si="49">ROUND(HC28*I28,2)</f>
        <v>0</v>
      </c>
      <c r="HA28">
        <v>0</v>
      </c>
      <c r="HB28">
        <v>0</v>
      </c>
      <c r="HC28">
        <f t="shared" ref="HC28:HC33" si="50">GV28*GW28</f>
        <v>0</v>
      </c>
      <c r="HE28" t="s">
        <v>3</v>
      </c>
      <c r="HF28" t="s">
        <v>3</v>
      </c>
      <c r="IK28">
        <v>0</v>
      </c>
    </row>
    <row r="29" spans="1:245" x14ac:dyDescent="0.2">
      <c r="A29">
        <v>17</v>
      </c>
      <c r="B29">
        <v>1</v>
      </c>
      <c r="E29" t="s">
        <v>34</v>
      </c>
      <c r="F29" t="s">
        <v>24</v>
      </c>
      <c r="G29" t="s">
        <v>35</v>
      </c>
      <c r="H29" t="s">
        <v>26</v>
      </c>
      <c r="I29">
        <v>8</v>
      </c>
      <c r="J29">
        <v>0</v>
      </c>
      <c r="O29">
        <f t="shared" si="21"/>
        <v>71427.59</v>
      </c>
      <c r="P29">
        <f t="shared" si="22"/>
        <v>385.11</v>
      </c>
      <c r="Q29">
        <f>(ROUND((ROUND((((ET29*1.2))*AV29*I29),2)*BB29),2)+ROUND((ROUND(((AE29-((EU29*1.2)))*AV29*I29),2)*BS29),2))</f>
        <v>3039.15</v>
      </c>
      <c r="R29">
        <f t="shared" si="23"/>
        <v>1960.78</v>
      </c>
      <c r="S29">
        <f t="shared" si="24"/>
        <v>68003.33</v>
      </c>
      <c r="T29">
        <f t="shared" si="25"/>
        <v>0</v>
      </c>
      <c r="U29">
        <f t="shared" si="26"/>
        <v>217.10592</v>
      </c>
      <c r="V29">
        <f t="shared" si="27"/>
        <v>0</v>
      </c>
      <c r="W29">
        <f t="shared" si="28"/>
        <v>0</v>
      </c>
      <c r="X29">
        <f t="shared" si="29"/>
        <v>52362.559999999998</v>
      </c>
      <c r="Y29">
        <f t="shared" si="29"/>
        <v>27881.37</v>
      </c>
      <c r="AA29">
        <v>23646166</v>
      </c>
      <c r="AB29">
        <f t="shared" si="30"/>
        <v>376.84</v>
      </c>
      <c r="AC29">
        <f>ROUND((ES29),6)</f>
        <v>9.1</v>
      </c>
      <c r="AD29">
        <f>ROUND(((((ET29*1.2))-((EU29*1.2)))+AE29),6)</f>
        <v>40.631999999999998</v>
      </c>
      <c r="AE29">
        <f t="shared" ref="AE29:AF31" si="51">ROUND(((EU29*1.2)),6)</f>
        <v>9.4320000000000004</v>
      </c>
      <c r="AF29">
        <f t="shared" si="51"/>
        <v>327.108</v>
      </c>
      <c r="AG29">
        <f t="shared" si="31"/>
        <v>0</v>
      </c>
      <c r="AH29">
        <f t="shared" ref="AH29:AI31" si="52">((EW29*1.2))</f>
        <v>25.92</v>
      </c>
      <c r="AI29">
        <f t="shared" si="52"/>
        <v>0</v>
      </c>
      <c r="AJ29">
        <f t="shared" si="32"/>
        <v>0</v>
      </c>
      <c r="AK29">
        <v>315.55</v>
      </c>
      <c r="AL29">
        <v>9.1</v>
      </c>
      <c r="AM29">
        <v>33.86</v>
      </c>
      <c r="AN29">
        <v>7.86</v>
      </c>
      <c r="AO29">
        <v>272.58999999999997</v>
      </c>
      <c r="AP29">
        <v>0</v>
      </c>
      <c r="AQ29">
        <v>21.6</v>
      </c>
      <c r="AR29">
        <v>0</v>
      </c>
      <c r="AS29">
        <v>0</v>
      </c>
      <c r="AT29">
        <v>77</v>
      </c>
      <c r="AU29">
        <v>41</v>
      </c>
      <c r="AV29">
        <v>1.0469999999999999</v>
      </c>
      <c r="AW29">
        <v>1</v>
      </c>
      <c r="AZ29">
        <v>1</v>
      </c>
      <c r="BA29">
        <v>24.82</v>
      </c>
      <c r="BB29">
        <v>8.93</v>
      </c>
      <c r="BC29">
        <v>5.29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27</v>
      </c>
      <c r="BM29">
        <v>317</v>
      </c>
      <c r="BN29">
        <v>0</v>
      </c>
      <c r="BO29" t="s">
        <v>24</v>
      </c>
      <c r="BP29">
        <v>1</v>
      </c>
      <c r="BQ29">
        <v>40</v>
      </c>
      <c r="BR29">
        <v>0</v>
      </c>
      <c r="BS29">
        <v>24.82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77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171</v>
      </c>
      <c r="CO29">
        <v>0</v>
      </c>
      <c r="CP29">
        <f t="shared" si="33"/>
        <v>71427.59</v>
      </c>
      <c r="CQ29">
        <f t="shared" si="34"/>
        <v>48.14</v>
      </c>
      <c r="CR29">
        <f>(ROUND((ROUND((((ET29*1.2))*AV29*1),2)*BB29),2)+ROUND((ROUND(((AE29-((EU29*1.2)))*AV29*1),2)*BS29),2))</f>
        <v>379.88</v>
      </c>
      <c r="CS29">
        <f t="shared" si="35"/>
        <v>245.22</v>
      </c>
      <c r="CT29">
        <f t="shared" si="36"/>
        <v>8500.35</v>
      </c>
      <c r="CU29">
        <f t="shared" si="37"/>
        <v>0</v>
      </c>
      <c r="CV29">
        <f t="shared" si="38"/>
        <v>27.13824</v>
      </c>
      <c r="CW29">
        <f t="shared" si="39"/>
        <v>0</v>
      </c>
      <c r="CX29">
        <f t="shared" si="39"/>
        <v>0</v>
      </c>
      <c r="CY29">
        <f t="shared" si="40"/>
        <v>52362.564100000003</v>
      </c>
      <c r="CZ29">
        <f t="shared" si="41"/>
        <v>27881.365299999998</v>
      </c>
      <c r="DC29" t="s">
        <v>3</v>
      </c>
      <c r="DD29" t="s">
        <v>3</v>
      </c>
      <c r="DE29" t="s">
        <v>36</v>
      </c>
      <c r="DF29" t="s">
        <v>36</v>
      </c>
      <c r="DG29" t="s">
        <v>36</v>
      </c>
      <c r="DH29" t="s">
        <v>3</v>
      </c>
      <c r="DI29" t="s">
        <v>36</v>
      </c>
      <c r="DJ29" t="s">
        <v>36</v>
      </c>
      <c r="DK29" t="s">
        <v>3</v>
      </c>
      <c r="DL29" t="s">
        <v>3</v>
      </c>
      <c r="DM29" t="s">
        <v>3</v>
      </c>
      <c r="DN29">
        <v>114</v>
      </c>
      <c r="DO29">
        <v>67</v>
      </c>
      <c r="DP29">
        <v>1.0469999999999999</v>
      </c>
      <c r="DQ29">
        <v>1</v>
      </c>
      <c r="DU29">
        <v>1010</v>
      </c>
      <c r="DV29" t="s">
        <v>26</v>
      </c>
      <c r="DW29" t="s">
        <v>26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22827158</v>
      </c>
      <c r="EF29">
        <v>40</v>
      </c>
      <c r="EG29" t="s">
        <v>30</v>
      </c>
      <c r="EH29">
        <v>0</v>
      </c>
      <c r="EI29" t="s">
        <v>3</v>
      </c>
      <c r="EJ29">
        <v>2</v>
      </c>
      <c r="EK29">
        <v>317</v>
      </c>
      <c r="EL29" t="s">
        <v>31</v>
      </c>
      <c r="EM29" t="s">
        <v>32</v>
      </c>
      <c r="EO29" t="s">
        <v>37</v>
      </c>
      <c r="EQ29">
        <v>0</v>
      </c>
      <c r="ER29">
        <v>315.55</v>
      </c>
      <c r="ES29">
        <v>9.1</v>
      </c>
      <c r="ET29">
        <v>33.86</v>
      </c>
      <c r="EU29">
        <v>7.86</v>
      </c>
      <c r="EV29">
        <v>272.58999999999997</v>
      </c>
      <c r="EW29">
        <v>21.6</v>
      </c>
      <c r="EX29">
        <v>0</v>
      </c>
      <c r="EY29">
        <v>0</v>
      </c>
      <c r="FQ29">
        <v>0</v>
      </c>
      <c r="FR29">
        <f t="shared" si="42"/>
        <v>0</v>
      </c>
      <c r="FS29">
        <v>0</v>
      </c>
      <c r="FX29">
        <v>114</v>
      </c>
      <c r="FY29">
        <v>67</v>
      </c>
      <c r="GA29" t="s">
        <v>3</v>
      </c>
      <c r="GD29">
        <v>0</v>
      </c>
      <c r="GF29">
        <v>385317284</v>
      </c>
      <c r="GG29">
        <v>2</v>
      </c>
      <c r="GH29">
        <v>1</v>
      </c>
      <c r="GI29">
        <v>2</v>
      </c>
      <c r="GJ29">
        <v>0</v>
      </c>
      <c r="GK29">
        <f>ROUND(R29*(R12)/100,2)</f>
        <v>3078.42</v>
      </c>
      <c r="GL29">
        <f t="shared" si="43"/>
        <v>0</v>
      </c>
      <c r="GM29">
        <f t="shared" si="44"/>
        <v>154749.94</v>
      </c>
      <c r="GN29">
        <f t="shared" si="45"/>
        <v>0</v>
      </c>
      <c r="GO29">
        <f t="shared" si="46"/>
        <v>154749.94</v>
      </c>
      <c r="GP29">
        <f t="shared" si="47"/>
        <v>0</v>
      </c>
      <c r="GR29">
        <v>0</v>
      </c>
      <c r="GS29">
        <v>0</v>
      </c>
      <c r="GT29">
        <v>0</v>
      </c>
      <c r="GU29" t="s">
        <v>3</v>
      </c>
      <c r="GV29">
        <f t="shared" si="48"/>
        <v>0</v>
      </c>
      <c r="GW29">
        <v>1</v>
      </c>
      <c r="GX29">
        <f t="shared" si="49"/>
        <v>0</v>
      </c>
      <c r="HA29">
        <v>0</v>
      </c>
      <c r="HB29">
        <v>0</v>
      </c>
      <c r="HC29">
        <f t="shared" si="50"/>
        <v>0</v>
      </c>
      <c r="HE29" t="s">
        <v>3</v>
      </c>
      <c r="HF29" t="s">
        <v>3</v>
      </c>
      <c r="IK29">
        <v>0</v>
      </c>
    </row>
    <row r="30" spans="1:245" x14ac:dyDescent="0.2">
      <c r="A30">
        <v>17</v>
      </c>
      <c r="B30">
        <v>1</v>
      </c>
      <c r="E30" t="s">
        <v>38</v>
      </c>
      <c r="F30" t="s">
        <v>39</v>
      </c>
      <c r="G30" t="s">
        <v>40</v>
      </c>
      <c r="H30" t="s">
        <v>41</v>
      </c>
      <c r="I30">
        <f>ROUND(0.42,9)</f>
        <v>0.42</v>
      </c>
      <c r="J30">
        <v>0</v>
      </c>
      <c r="O30">
        <f t="shared" si="21"/>
        <v>24019</v>
      </c>
      <c r="P30">
        <f t="shared" si="22"/>
        <v>12115.48</v>
      </c>
      <c r="Q30">
        <f>(ROUND((ROUND((((ET30*1.2))*AV30*I30),2)*BB30),2)+ROUND((ROUND(((AE30-((EU30*1.2)))*AV30*I30),2)*BS30),2))</f>
        <v>3044.27</v>
      </c>
      <c r="R30">
        <f t="shared" si="23"/>
        <v>870.69</v>
      </c>
      <c r="S30">
        <f t="shared" si="24"/>
        <v>8859.25</v>
      </c>
      <c r="T30">
        <f t="shared" si="25"/>
        <v>0</v>
      </c>
      <c r="U30">
        <f t="shared" si="26"/>
        <v>28.284076799999994</v>
      </c>
      <c r="V30">
        <f t="shared" si="27"/>
        <v>0</v>
      </c>
      <c r="W30">
        <f t="shared" si="28"/>
        <v>0</v>
      </c>
      <c r="X30">
        <f t="shared" si="29"/>
        <v>6821.62</v>
      </c>
      <c r="Y30">
        <f t="shared" si="29"/>
        <v>3632.29</v>
      </c>
      <c r="AA30">
        <v>23646166</v>
      </c>
      <c r="AB30">
        <f t="shared" si="30"/>
        <v>7107.9440000000004</v>
      </c>
      <c r="AC30">
        <f>ROUND((ES30),6)</f>
        <v>5453</v>
      </c>
      <c r="AD30">
        <f>ROUND(((((ET30*1.2))-((EU30*1.2)))+AE30),6)</f>
        <v>843.22799999999995</v>
      </c>
      <c r="AE30">
        <f t="shared" si="51"/>
        <v>79.775999999999996</v>
      </c>
      <c r="AF30">
        <f t="shared" si="51"/>
        <v>811.71600000000001</v>
      </c>
      <c r="AG30">
        <f t="shared" si="31"/>
        <v>0</v>
      </c>
      <c r="AH30">
        <f t="shared" si="52"/>
        <v>64.319999999999993</v>
      </c>
      <c r="AI30">
        <f t="shared" si="52"/>
        <v>0</v>
      </c>
      <c r="AJ30">
        <f t="shared" si="32"/>
        <v>0</v>
      </c>
      <c r="AK30">
        <v>6832.12</v>
      </c>
      <c r="AL30">
        <v>5453</v>
      </c>
      <c r="AM30">
        <v>702.69</v>
      </c>
      <c r="AN30">
        <v>66.48</v>
      </c>
      <c r="AO30">
        <v>676.43</v>
      </c>
      <c r="AP30">
        <v>0</v>
      </c>
      <c r="AQ30">
        <v>53.6</v>
      </c>
      <c r="AR30">
        <v>0</v>
      </c>
      <c r="AS30">
        <v>0</v>
      </c>
      <c r="AT30">
        <v>77</v>
      </c>
      <c r="AU30">
        <v>41</v>
      </c>
      <c r="AV30">
        <v>1.0469999999999999</v>
      </c>
      <c r="AW30">
        <v>1</v>
      </c>
      <c r="AZ30">
        <v>1</v>
      </c>
      <c r="BA30">
        <v>24.82</v>
      </c>
      <c r="BB30">
        <v>8.2100000000000009</v>
      </c>
      <c r="BC30">
        <v>5.29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2</v>
      </c>
      <c r="BJ30" t="s">
        <v>42</v>
      </c>
      <c r="BM30">
        <v>317</v>
      </c>
      <c r="BN30">
        <v>0</v>
      </c>
      <c r="BO30" t="s">
        <v>39</v>
      </c>
      <c r="BP30">
        <v>1</v>
      </c>
      <c r="BQ30">
        <v>40</v>
      </c>
      <c r="BR30">
        <v>0</v>
      </c>
      <c r="BS30">
        <v>24.82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77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171</v>
      </c>
      <c r="CO30">
        <v>0</v>
      </c>
      <c r="CP30">
        <f t="shared" si="33"/>
        <v>24019</v>
      </c>
      <c r="CQ30">
        <f t="shared" si="34"/>
        <v>28846.37</v>
      </c>
      <c r="CR30">
        <f>(ROUND((ROUND((((ET30*1.2))*AV30*1),2)*BB30),2)+ROUND((ROUND(((AE30-((EU30*1.2)))*AV30*1),2)*BS30),2))</f>
        <v>7248.28</v>
      </c>
      <c r="CS30">
        <f t="shared" si="35"/>
        <v>2073.21</v>
      </c>
      <c r="CT30">
        <f t="shared" si="36"/>
        <v>21093.77</v>
      </c>
      <c r="CU30">
        <f t="shared" si="37"/>
        <v>0</v>
      </c>
      <c r="CV30">
        <f t="shared" si="38"/>
        <v>67.343039999999988</v>
      </c>
      <c r="CW30">
        <f t="shared" si="39"/>
        <v>0</v>
      </c>
      <c r="CX30">
        <f t="shared" si="39"/>
        <v>0</v>
      </c>
      <c r="CY30">
        <f t="shared" si="40"/>
        <v>6821.6225000000004</v>
      </c>
      <c r="CZ30">
        <f t="shared" si="41"/>
        <v>3632.2924999999996</v>
      </c>
      <c r="DC30" t="s">
        <v>3</v>
      </c>
      <c r="DD30" t="s">
        <v>3</v>
      </c>
      <c r="DE30" t="s">
        <v>36</v>
      </c>
      <c r="DF30" t="s">
        <v>36</v>
      </c>
      <c r="DG30" t="s">
        <v>36</v>
      </c>
      <c r="DH30" t="s">
        <v>3</v>
      </c>
      <c r="DI30" t="s">
        <v>36</v>
      </c>
      <c r="DJ30" t="s">
        <v>36</v>
      </c>
      <c r="DK30" t="s">
        <v>3</v>
      </c>
      <c r="DL30" t="s">
        <v>3</v>
      </c>
      <c r="DM30" t="s">
        <v>3</v>
      </c>
      <c r="DN30">
        <v>114</v>
      </c>
      <c r="DO30">
        <v>67</v>
      </c>
      <c r="DP30">
        <v>1.0469999999999999</v>
      </c>
      <c r="DQ30">
        <v>1</v>
      </c>
      <c r="DU30">
        <v>1009</v>
      </c>
      <c r="DV30" t="s">
        <v>41</v>
      </c>
      <c r="DW30" t="s">
        <v>41</v>
      </c>
      <c r="DX30">
        <v>1000</v>
      </c>
      <c r="DZ30" t="s">
        <v>3</v>
      </c>
      <c r="EA30" t="s">
        <v>3</v>
      </c>
      <c r="EB30" t="s">
        <v>3</v>
      </c>
      <c r="EC30" t="s">
        <v>3</v>
      </c>
      <c r="EE30">
        <v>22827158</v>
      </c>
      <c r="EF30">
        <v>40</v>
      </c>
      <c r="EG30" t="s">
        <v>30</v>
      </c>
      <c r="EH30">
        <v>0</v>
      </c>
      <c r="EI30" t="s">
        <v>3</v>
      </c>
      <c r="EJ30">
        <v>2</v>
      </c>
      <c r="EK30">
        <v>317</v>
      </c>
      <c r="EL30" t="s">
        <v>31</v>
      </c>
      <c r="EM30" t="s">
        <v>32</v>
      </c>
      <c r="EO30" t="s">
        <v>37</v>
      </c>
      <c r="EQ30">
        <v>0</v>
      </c>
      <c r="ER30">
        <v>6832.12</v>
      </c>
      <c r="ES30">
        <v>5453</v>
      </c>
      <c r="ET30">
        <v>702.69</v>
      </c>
      <c r="EU30">
        <v>66.48</v>
      </c>
      <c r="EV30">
        <v>676.43</v>
      </c>
      <c r="EW30">
        <v>53.6</v>
      </c>
      <c r="EX30">
        <v>0</v>
      </c>
      <c r="EY30">
        <v>0</v>
      </c>
      <c r="FQ30">
        <v>0</v>
      </c>
      <c r="FR30">
        <f t="shared" si="42"/>
        <v>0</v>
      </c>
      <c r="FS30">
        <v>0</v>
      </c>
      <c r="FX30">
        <v>114</v>
      </c>
      <c r="FY30">
        <v>67</v>
      </c>
      <c r="GA30" t="s">
        <v>3</v>
      </c>
      <c r="GD30">
        <v>0</v>
      </c>
      <c r="GF30">
        <v>-2105285767</v>
      </c>
      <c r="GG30">
        <v>2</v>
      </c>
      <c r="GH30">
        <v>1</v>
      </c>
      <c r="GI30">
        <v>2</v>
      </c>
      <c r="GJ30">
        <v>0</v>
      </c>
      <c r="GK30">
        <f>ROUND(R30*(R12)/100,2)</f>
        <v>1366.98</v>
      </c>
      <c r="GL30">
        <f t="shared" si="43"/>
        <v>0</v>
      </c>
      <c r="GM30">
        <f t="shared" si="44"/>
        <v>35839.89</v>
      </c>
      <c r="GN30">
        <f t="shared" si="45"/>
        <v>0</v>
      </c>
      <c r="GO30">
        <f t="shared" si="46"/>
        <v>35839.89</v>
      </c>
      <c r="GP30">
        <f t="shared" si="47"/>
        <v>0</v>
      </c>
      <c r="GR30">
        <v>0</v>
      </c>
      <c r="GS30">
        <v>0</v>
      </c>
      <c r="GT30">
        <v>0</v>
      </c>
      <c r="GU30" t="s">
        <v>3</v>
      </c>
      <c r="GV30">
        <f t="shared" si="48"/>
        <v>0</v>
      </c>
      <c r="GW30">
        <v>1</v>
      </c>
      <c r="GX30">
        <f t="shared" si="49"/>
        <v>0</v>
      </c>
      <c r="HA30">
        <v>0</v>
      </c>
      <c r="HB30">
        <v>0</v>
      </c>
      <c r="HC30">
        <f t="shared" si="50"/>
        <v>0</v>
      </c>
      <c r="HE30" t="s">
        <v>3</v>
      </c>
      <c r="HF30" t="s">
        <v>3</v>
      </c>
      <c r="IK30">
        <v>0</v>
      </c>
    </row>
    <row r="31" spans="1:245" x14ac:dyDescent="0.2">
      <c r="A31">
        <v>17</v>
      </c>
      <c r="B31">
        <v>1</v>
      </c>
      <c r="E31" t="s">
        <v>43</v>
      </c>
      <c r="F31" t="s">
        <v>44</v>
      </c>
      <c r="G31" t="s">
        <v>45</v>
      </c>
      <c r="H31" t="s">
        <v>26</v>
      </c>
      <c r="I31">
        <v>3</v>
      </c>
      <c r="J31">
        <v>0</v>
      </c>
      <c r="O31">
        <f t="shared" si="21"/>
        <v>32517.99</v>
      </c>
      <c r="P31">
        <f t="shared" si="22"/>
        <v>1821.88</v>
      </c>
      <c r="Q31">
        <f>(ROUND((ROUND((((ET31*1.2))*AV31*I31),2)*BB31),2)+ROUND((ROUND(((AE31-((EU31*1.2)))*AV31*I31),2)*BS31),2))</f>
        <v>1535.09</v>
      </c>
      <c r="R31">
        <f t="shared" si="23"/>
        <v>691.24</v>
      </c>
      <c r="S31">
        <f t="shared" si="24"/>
        <v>29161.02</v>
      </c>
      <c r="T31">
        <f t="shared" si="25"/>
        <v>0</v>
      </c>
      <c r="U31">
        <f t="shared" si="26"/>
        <v>93.09923999999998</v>
      </c>
      <c r="V31">
        <f t="shared" si="27"/>
        <v>0</v>
      </c>
      <c r="W31">
        <f t="shared" si="28"/>
        <v>0</v>
      </c>
      <c r="X31">
        <f t="shared" si="29"/>
        <v>22453.99</v>
      </c>
      <c r="Y31">
        <f t="shared" si="29"/>
        <v>11956.02</v>
      </c>
      <c r="AA31">
        <v>23646166</v>
      </c>
      <c r="AB31">
        <f t="shared" si="30"/>
        <v>554.27599999999995</v>
      </c>
      <c r="AC31">
        <f>ROUND((ES31),6)</f>
        <v>114.8</v>
      </c>
      <c r="AD31">
        <f>ROUND(((((ET31*1.2))-((EU31*1.2)))+AE31),6)</f>
        <v>65.424000000000007</v>
      </c>
      <c r="AE31">
        <f t="shared" si="51"/>
        <v>8.8680000000000003</v>
      </c>
      <c r="AF31">
        <f t="shared" si="51"/>
        <v>374.05200000000002</v>
      </c>
      <c r="AG31">
        <f t="shared" si="31"/>
        <v>0</v>
      </c>
      <c r="AH31">
        <f t="shared" si="52"/>
        <v>29.639999999999997</v>
      </c>
      <c r="AI31">
        <f t="shared" si="52"/>
        <v>0</v>
      </c>
      <c r="AJ31">
        <f t="shared" si="32"/>
        <v>0</v>
      </c>
      <c r="AK31">
        <v>481.03</v>
      </c>
      <c r="AL31">
        <v>114.8</v>
      </c>
      <c r="AM31">
        <v>54.52</v>
      </c>
      <c r="AN31">
        <v>7.39</v>
      </c>
      <c r="AO31">
        <v>311.70999999999998</v>
      </c>
      <c r="AP31">
        <v>0</v>
      </c>
      <c r="AQ31">
        <v>24.7</v>
      </c>
      <c r="AR31">
        <v>0</v>
      </c>
      <c r="AS31">
        <v>0</v>
      </c>
      <c r="AT31">
        <v>77</v>
      </c>
      <c r="AU31">
        <v>41</v>
      </c>
      <c r="AV31">
        <v>1.0469999999999999</v>
      </c>
      <c r="AW31">
        <v>1</v>
      </c>
      <c r="AZ31">
        <v>1</v>
      </c>
      <c r="BA31">
        <v>24.82</v>
      </c>
      <c r="BB31">
        <v>7.47</v>
      </c>
      <c r="BC31">
        <v>5.29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46</v>
      </c>
      <c r="BM31">
        <v>317</v>
      </c>
      <c r="BN31">
        <v>0</v>
      </c>
      <c r="BO31" t="s">
        <v>44</v>
      </c>
      <c r="BP31">
        <v>1</v>
      </c>
      <c r="BQ31">
        <v>40</v>
      </c>
      <c r="BR31">
        <v>0</v>
      </c>
      <c r="BS31">
        <v>24.82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77</v>
      </c>
      <c r="CA31">
        <v>41</v>
      </c>
      <c r="CE31">
        <v>30</v>
      </c>
      <c r="CF31">
        <v>0</v>
      </c>
      <c r="CG31">
        <v>0</v>
      </c>
      <c r="CM31">
        <v>0</v>
      </c>
      <c r="CN31" t="s">
        <v>171</v>
      </c>
      <c r="CO31">
        <v>0</v>
      </c>
      <c r="CP31">
        <f t="shared" si="33"/>
        <v>32517.99</v>
      </c>
      <c r="CQ31">
        <f t="shared" si="34"/>
        <v>607.29</v>
      </c>
      <c r="CR31">
        <f>(ROUND((ROUND((((ET31*1.2))*AV31*1),2)*BB31),2)+ROUND((ROUND(((AE31-((EU31*1.2)))*AV31*1),2)*BS31),2))</f>
        <v>511.7</v>
      </c>
      <c r="CS31">
        <f t="shared" si="35"/>
        <v>230.33</v>
      </c>
      <c r="CT31">
        <f t="shared" si="36"/>
        <v>9720.26</v>
      </c>
      <c r="CU31">
        <f t="shared" si="37"/>
        <v>0</v>
      </c>
      <c r="CV31">
        <f t="shared" si="38"/>
        <v>31.033079999999995</v>
      </c>
      <c r="CW31">
        <f t="shared" si="39"/>
        <v>0</v>
      </c>
      <c r="CX31">
        <f t="shared" si="39"/>
        <v>0</v>
      </c>
      <c r="CY31">
        <f t="shared" si="40"/>
        <v>22453.985400000001</v>
      </c>
      <c r="CZ31">
        <f t="shared" si="41"/>
        <v>11956.018199999999</v>
      </c>
      <c r="DC31" t="s">
        <v>3</v>
      </c>
      <c r="DD31" t="s">
        <v>3</v>
      </c>
      <c r="DE31" t="s">
        <v>36</v>
      </c>
      <c r="DF31" t="s">
        <v>36</v>
      </c>
      <c r="DG31" t="s">
        <v>36</v>
      </c>
      <c r="DH31" t="s">
        <v>3</v>
      </c>
      <c r="DI31" t="s">
        <v>36</v>
      </c>
      <c r="DJ31" t="s">
        <v>36</v>
      </c>
      <c r="DK31" t="s">
        <v>3</v>
      </c>
      <c r="DL31" t="s">
        <v>3</v>
      </c>
      <c r="DM31" t="s">
        <v>3</v>
      </c>
      <c r="DN31">
        <v>114</v>
      </c>
      <c r="DO31">
        <v>67</v>
      </c>
      <c r="DP31">
        <v>1.0469999999999999</v>
      </c>
      <c r="DQ31">
        <v>1</v>
      </c>
      <c r="DU31">
        <v>1010</v>
      </c>
      <c r="DV31" t="s">
        <v>26</v>
      </c>
      <c r="DW31" t="s">
        <v>26</v>
      </c>
      <c r="DX31">
        <v>1</v>
      </c>
      <c r="DZ31" t="s">
        <v>3</v>
      </c>
      <c r="EA31" t="s">
        <v>3</v>
      </c>
      <c r="EB31" t="s">
        <v>3</v>
      </c>
      <c r="EC31" t="s">
        <v>3</v>
      </c>
      <c r="EE31">
        <v>22827158</v>
      </c>
      <c r="EF31">
        <v>40</v>
      </c>
      <c r="EG31" t="s">
        <v>30</v>
      </c>
      <c r="EH31">
        <v>0</v>
      </c>
      <c r="EI31" t="s">
        <v>3</v>
      </c>
      <c r="EJ31">
        <v>2</v>
      </c>
      <c r="EK31">
        <v>317</v>
      </c>
      <c r="EL31" t="s">
        <v>31</v>
      </c>
      <c r="EM31" t="s">
        <v>32</v>
      </c>
      <c r="EO31" t="s">
        <v>37</v>
      </c>
      <c r="EQ31">
        <v>0</v>
      </c>
      <c r="ER31">
        <v>481.03</v>
      </c>
      <c r="ES31">
        <v>114.8</v>
      </c>
      <c r="ET31">
        <v>54.52</v>
      </c>
      <c r="EU31">
        <v>7.39</v>
      </c>
      <c r="EV31">
        <v>311.70999999999998</v>
      </c>
      <c r="EW31">
        <v>24.7</v>
      </c>
      <c r="EX31">
        <v>0</v>
      </c>
      <c r="EY31">
        <v>0</v>
      </c>
      <c r="FQ31">
        <v>0</v>
      </c>
      <c r="FR31">
        <f t="shared" si="42"/>
        <v>0</v>
      </c>
      <c r="FS31">
        <v>0</v>
      </c>
      <c r="FX31">
        <v>114</v>
      </c>
      <c r="FY31">
        <v>67</v>
      </c>
      <c r="GA31" t="s">
        <v>3</v>
      </c>
      <c r="GD31">
        <v>0</v>
      </c>
      <c r="GF31">
        <v>-2057474758</v>
      </c>
      <c r="GG31">
        <v>2</v>
      </c>
      <c r="GH31">
        <v>1</v>
      </c>
      <c r="GI31">
        <v>2</v>
      </c>
      <c r="GJ31">
        <v>0</v>
      </c>
      <c r="GK31">
        <f>ROUND(R31*(R12)/100,2)</f>
        <v>1085.25</v>
      </c>
      <c r="GL31">
        <f t="shared" si="43"/>
        <v>0</v>
      </c>
      <c r="GM31">
        <f t="shared" si="44"/>
        <v>68013.25</v>
      </c>
      <c r="GN31">
        <f t="shared" si="45"/>
        <v>0</v>
      </c>
      <c r="GO31">
        <f t="shared" si="46"/>
        <v>68013.25</v>
      </c>
      <c r="GP31">
        <f t="shared" si="47"/>
        <v>0</v>
      </c>
      <c r="GR31">
        <v>0</v>
      </c>
      <c r="GS31">
        <v>0</v>
      </c>
      <c r="GT31">
        <v>0</v>
      </c>
      <c r="GU31" t="s">
        <v>3</v>
      </c>
      <c r="GV31">
        <f t="shared" si="48"/>
        <v>0</v>
      </c>
      <c r="GW31">
        <v>1</v>
      </c>
      <c r="GX31">
        <f t="shared" si="49"/>
        <v>0</v>
      </c>
      <c r="HA31">
        <v>0</v>
      </c>
      <c r="HB31">
        <v>0</v>
      </c>
      <c r="HC31">
        <f t="shared" si="50"/>
        <v>0</v>
      </c>
      <c r="HE31" t="s">
        <v>3</v>
      </c>
      <c r="HF31" t="s">
        <v>3</v>
      </c>
      <c r="IK31">
        <v>0</v>
      </c>
    </row>
    <row r="32" spans="1:245" x14ac:dyDescent="0.2">
      <c r="A32">
        <v>17</v>
      </c>
      <c r="B32">
        <v>1</v>
      </c>
      <c r="E32" t="s">
        <v>47</v>
      </c>
      <c r="F32" t="s">
        <v>44</v>
      </c>
      <c r="G32" t="s">
        <v>48</v>
      </c>
      <c r="H32" t="s">
        <v>26</v>
      </c>
      <c r="I32">
        <v>3</v>
      </c>
      <c r="J32">
        <v>0</v>
      </c>
      <c r="O32">
        <f t="shared" si="21"/>
        <v>15348.05</v>
      </c>
      <c r="P32">
        <f t="shared" si="22"/>
        <v>0</v>
      </c>
      <c r="Q32">
        <f>(ROUND((ROUND(((((ET32*1.2)*0.5))*AV32*I32),2)*BB32),2)+ROUND((ROUND(((AE32-(((EU32*1.2)*0.5)))*AV32*I32),2)*BS32),2))</f>
        <v>767.54</v>
      </c>
      <c r="R32">
        <f t="shared" si="23"/>
        <v>345.74</v>
      </c>
      <c r="S32">
        <f t="shared" si="24"/>
        <v>14580.51</v>
      </c>
      <c r="T32">
        <f t="shared" si="25"/>
        <v>0</v>
      </c>
      <c r="U32">
        <f t="shared" si="26"/>
        <v>46.54961999999999</v>
      </c>
      <c r="V32">
        <f t="shared" si="27"/>
        <v>0</v>
      </c>
      <c r="W32">
        <f t="shared" si="28"/>
        <v>0</v>
      </c>
      <c r="X32">
        <f t="shared" si="29"/>
        <v>11226.99</v>
      </c>
      <c r="Y32">
        <f t="shared" si="29"/>
        <v>5978.01</v>
      </c>
      <c r="AA32">
        <v>23646166</v>
      </c>
      <c r="AB32">
        <f t="shared" si="30"/>
        <v>219.738</v>
      </c>
      <c r="AC32">
        <f>ROUND(((ES32*0)),6)</f>
        <v>0</v>
      </c>
      <c r="AD32">
        <f>ROUND((((((ET32*1.2)*0.5))-(((EU32*1.2)*0.5)))+AE32),6)</f>
        <v>32.712000000000003</v>
      </c>
      <c r="AE32">
        <f>ROUND((((EU32*1.2)*0.5)),6)</f>
        <v>4.4340000000000002</v>
      </c>
      <c r="AF32">
        <f>ROUND((((EV32*1.2)*0.5)),6)</f>
        <v>187.02600000000001</v>
      </c>
      <c r="AG32">
        <f t="shared" si="31"/>
        <v>0</v>
      </c>
      <c r="AH32">
        <f>(((EW32*1.2)*0.5))</f>
        <v>14.819999999999999</v>
      </c>
      <c r="AI32">
        <f>(((EX32*1.2)*0.5))</f>
        <v>0</v>
      </c>
      <c r="AJ32">
        <f t="shared" si="32"/>
        <v>0</v>
      </c>
      <c r="AK32">
        <v>481.03</v>
      </c>
      <c r="AL32">
        <v>114.8</v>
      </c>
      <c r="AM32">
        <v>54.52</v>
      </c>
      <c r="AN32">
        <v>7.39</v>
      </c>
      <c r="AO32">
        <v>311.70999999999998</v>
      </c>
      <c r="AP32">
        <v>0</v>
      </c>
      <c r="AQ32">
        <v>24.7</v>
      </c>
      <c r="AR32">
        <v>0</v>
      </c>
      <c r="AS32">
        <v>0</v>
      </c>
      <c r="AT32">
        <v>77</v>
      </c>
      <c r="AU32">
        <v>41</v>
      </c>
      <c r="AV32">
        <v>1.0469999999999999</v>
      </c>
      <c r="AW32">
        <v>1</v>
      </c>
      <c r="AZ32">
        <v>1</v>
      </c>
      <c r="BA32">
        <v>24.82</v>
      </c>
      <c r="BB32">
        <v>7.47</v>
      </c>
      <c r="BC32">
        <v>5.29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2</v>
      </c>
      <c r="BJ32" t="s">
        <v>46</v>
      </c>
      <c r="BM32">
        <v>317</v>
      </c>
      <c r="BN32">
        <v>0</v>
      </c>
      <c r="BO32" t="s">
        <v>44</v>
      </c>
      <c r="BP32">
        <v>1</v>
      </c>
      <c r="BQ32">
        <v>40</v>
      </c>
      <c r="BR32">
        <v>0</v>
      </c>
      <c r="BS32">
        <v>24.82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77</v>
      </c>
      <c r="CA32">
        <v>41</v>
      </c>
      <c r="CE32">
        <v>30</v>
      </c>
      <c r="CF32">
        <v>0</v>
      </c>
      <c r="CG32">
        <v>0</v>
      </c>
      <c r="CM32">
        <v>0</v>
      </c>
      <c r="CN32" t="s">
        <v>170</v>
      </c>
      <c r="CO32">
        <v>0</v>
      </c>
      <c r="CP32">
        <f t="shared" si="33"/>
        <v>15348.05</v>
      </c>
      <c r="CQ32">
        <f t="shared" si="34"/>
        <v>0</v>
      </c>
      <c r="CR32">
        <f>(ROUND((ROUND(((((ET32*1.2)*0.5))*AV32*1),2)*BB32),2)+ROUND((ROUND(((AE32-(((EU32*1.2)*0.5)))*AV32*1),2)*BS32),2))</f>
        <v>255.85</v>
      </c>
      <c r="CS32">
        <f t="shared" si="35"/>
        <v>115.16</v>
      </c>
      <c r="CT32">
        <f t="shared" si="36"/>
        <v>4860.25</v>
      </c>
      <c r="CU32">
        <f t="shared" si="37"/>
        <v>0</v>
      </c>
      <c r="CV32">
        <f t="shared" si="38"/>
        <v>15.516539999999997</v>
      </c>
      <c r="CW32">
        <f t="shared" si="39"/>
        <v>0</v>
      </c>
      <c r="CX32">
        <f t="shared" si="39"/>
        <v>0</v>
      </c>
      <c r="CY32">
        <f t="shared" si="40"/>
        <v>11226.992700000001</v>
      </c>
      <c r="CZ32">
        <f t="shared" si="41"/>
        <v>5978.0090999999993</v>
      </c>
      <c r="DC32" t="s">
        <v>3</v>
      </c>
      <c r="DD32" t="s">
        <v>28</v>
      </c>
      <c r="DE32" t="s">
        <v>29</v>
      </c>
      <c r="DF32" t="s">
        <v>29</v>
      </c>
      <c r="DG32" t="s">
        <v>29</v>
      </c>
      <c r="DH32" t="s">
        <v>3</v>
      </c>
      <c r="DI32" t="s">
        <v>29</v>
      </c>
      <c r="DJ32" t="s">
        <v>29</v>
      </c>
      <c r="DK32" t="s">
        <v>3</v>
      </c>
      <c r="DL32" t="s">
        <v>3</v>
      </c>
      <c r="DM32" t="s">
        <v>3</v>
      </c>
      <c r="DN32">
        <v>114</v>
      </c>
      <c r="DO32">
        <v>67</v>
      </c>
      <c r="DP32">
        <v>1.0469999999999999</v>
      </c>
      <c r="DQ32">
        <v>1</v>
      </c>
      <c r="DU32">
        <v>1010</v>
      </c>
      <c r="DV32" t="s">
        <v>26</v>
      </c>
      <c r="DW32" t="s">
        <v>26</v>
      </c>
      <c r="DX32">
        <v>1</v>
      </c>
      <c r="DZ32" t="s">
        <v>3</v>
      </c>
      <c r="EA32" t="s">
        <v>3</v>
      </c>
      <c r="EB32" t="s">
        <v>3</v>
      </c>
      <c r="EC32" t="s">
        <v>3</v>
      </c>
      <c r="EE32">
        <v>22827158</v>
      </c>
      <c r="EF32">
        <v>40</v>
      </c>
      <c r="EG32" t="s">
        <v>30</v>
      </c>
      <c r="EH32">
        <v>0</v>
      </c>
      <c r="EI32" t="s">
        <v>3</v>
      </c>
      <c r="EJ32">
        <v>2</v>
      </c>
      <c r="EK32">
        <v>317</v>
      </c>
      <c r="EL32" t="s">
        <v>31</v>
      </c>
      <c r="EM32" t="s">
        <v>32</v>
      </c>
      <c r="EO32" t="s">
        <v>33</v>
      </c>
      <c r="EQ32">
        <v>0</v>
      </c>
      <c r="ER32">
        <v>481.03</v>
      </c>
      <c r="ES32">
        <v>114.8</v>
      </c>
      <c r="ET32">
        <v>54.52</v>
      </c>
      <c r="EU32">
        <v>7.39</v>
      </c>
      <c r="EV32">
        <v>311.70999999999998</v>
      </c>
      <c r="EW32">
        <v>24.7</v>
      </c>
      <c r="EX32">
        <v>0</v>
      </c>
      <c r="EY32">
        <v>0</v>
      </c>
      <c r="FQ32">
        <v>0</v>
      </c>
      <c r="FR32">
        <f t="shared" si="42"/>
        <v>0</v>
      </c>
      <c r="FS32">
        <v>0</v>
      </c>
      <c r="FX32">
        <v>114</v>
      </c>
      <c r="FY32">
        <v>67</v>
      </c>
      <c r="GA32" t="s">
        <v>3</v>
      </c>
      <c r="GD32">
        <v>0</v>
      </c>
      <c r="GF32">
        <v>1036801648</v>
      </c>
      <c r="GG32">
        <v>2</v>
      </c>
      <c r="GH32">
        <v>1</v>
      </c>
      <c r="GI32">
        <v>2</v>
      </c>
      <c r="GJ32">
        <v>0</v>
      </c>
      <c r="GK32">
        <f>ROUND(R32*(R12)/100,2)</f>
        <v>542.80999999999995</v>
      </c>
      <c r="GL32">
        <f t="shared" si="43"/>
        <v>0</v>
      </c>
      <c r="GM32">
        <f t="shared" si="44"/>
        <v>33095.86</v>
      </c>
      <c r="GN32">
        <f t="shared" si="45"/>
        <v>0</v>
      </c>
      <c r="GO32">
        <f t="shared" si="46"/>
        <v>33095.86</v>
      </c>
      <c r="GP32">
        <f t="shared" si="47"/>
        <v>0</v>
      </c>
      <c r="GR32">
        <v>0</v>
      </c>
      <c r="GS32">
        <v>0</v>
      </c>
      <c r="GT32">
        <v>0</v>
      </c>
      <c r="GU32" t="s">
        <v>3</v>
      </c>
      <c r="GV32">
        <f t="shared" si="48"/>
        <v>0</v>
      </c>
      <c r="GW32">
        <v>1</v>
      </c>
      <c r="GX32">
        <f t="shared" si="49"/>
        <v>0</v>
      </c>
      <c r="HA32">
        <v>0</v>
      </c>
      <c r="HB32">
        <v>0</v>
      </c>
      <c r="HC32">
        <f t="shared" si="50"/>
        <v>0</v>
      </c>
      <c r="HE32" t="s">
        <v>3</v>
      </c>
      <c r="HF32" t="s">
        <v>3</v>
      </c>
      <c r="IK32">
        <v>0</v>
      </c>
    </row>
    <row r="33" spans="1:245" x14ac:dyDescent="0.2">
      <c r="A33">
        <v>17</v>
      </c>
      <c r="B33">
        <v>1</v>
      </c>
      <c r="E33" t="s">
        <v>49</v>
      </c>
      <c r="F33" t="s">
        <v>50</v>
      </c>
      <c r="G33" t="s">
        <v>51</v>
      </c>
      <c r="H33" t="s">
        <v>52</v>
      </c>
      <c r="I33">
        <f>ROUND(36/100,9)</f>
        <v>0.36</v>
      </c>
      <c r="J33">
        <v>0</v>
      </c>
      <c r="O33">
        <f t="shared" si="21"/>
        <v>10565.84</v>
      </c>
      <c r="P33">
        <f t="shared" si="22"/>
        <v>154.63</v>
      </c>
      <c r="Q33">
        <f>(ROUND((ROUND((((ET33*1.2))*AV33*I33),2)*BB33),2)+ROUND((ROUND(((AE33-((EU33*1.2)))*AV33*I33),2)*BS33),2))</f>
        <v>2534.09</v>
      </c>
      <c r="R33">
        <f t="shared" si="23"/>
        <v>1362.62</v>
      </c>
      <c r="S33">
        <f t="shared" si="24"/>
        <v>7877.12</v>
      </c>
      <c r="T33">
        <f t="shared" si="25"/>
        <v>0</v>
      </c>
      <c r="U33">
        <f t="shared" si="26"/>
        <v>25.148102399999999</v>
      </c>
      <c r="V33">
        <f t="shared" si="27"/>
        <v>0</v>
      </c>
      <c r="W33">
        <f t="shared" si="28"/>
        <v>0</v>
      </c>
      <c r="X33">
        <f t="shared" si="29"/>
        <v>6065.38</v>
      </c>
      <c r="Y33">
        <f t="shared" si="29"/>
        <v>3229.62</v>
      </c>
      <c r="AA33">
        <v>23646166</v>
      </c>
      <c r="AB33">
        <f t="shared" si="30"/>
        <v>1550.96</v>
      </c>
      <c r="AC33">
        <f>ROUND((ES33),6)</f>
        <v>81.2</v>
      </c>
      <c r="AD33">
        <f>ROUND(((((ET33*1.2))-((EU33*1.2)))+AE33),6)</f>
        <v>627.75599999999997</v>
      </c>
      <c r="AE33">
        <f>ROUND(((EU33*1.2)),6)</f>
        <v>145.65600000000001</v>
      </c>
      <c r="AF33">
        <f>ROUND(((EV33*1.2)),6)</f>
        <v>842.00400000000002</v>
      </c>
      <c r="AG33">
        <f t="shared" si="31"/>
        <v>0</v>
      </c>
      <c r="AH33">
        <f>((EW33*1.2))</f>
        <v>66.72</v>
      </c>
      <c r="AI33">
        <f>((EX33*1.2))</f>
        <v>0</v>
      </c>
      <c r="AJ33">
        <f t="shared" si="32"/>
        <v>0</v>
      </c>
      <c r="AK33">
        <v>1306</v>
      </c>
      <c r="AL33">
        <v>81.2</v>
      </c>
      <c r="AM33">
        <v>523.13</v>
      </c>
      <c r="AN33">
        <v>121.38</v>
      </c>
      <c r="AO33">
        <v>701.67</v>
      </c>
      <c r="AP33">
        <v>0</v>
      </c>
      <c r="AQ33">
        <v>55.6</v>
      </c>
      <c r="AR33">
        <v>0</v>
      </c>
      <c r="AS33">
        <v>0</v>
      </c>
      <c r="AT33">
        <v>77</v>
      </c>
      <c r="AU33">
        <v>41</v>
      </c>
      <c r="AV33">
        <v>1.0469999999999999</v>
      </c>
      <c r="AW33">
        <v>1</v>
      </c>
      <c r="AZ33">
        <v>1</v>
      </c>
      <c r="BA33">
        <v>24.82</v>
      </c>
      <c r="BB33">
        <v>10.71</v>
      </c>
      <c r="BC33">
        <v>5.29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53</v>
      </c>
      <c r="BM33">
        <v>317</v>
      </c>
      <c r="BN33">
        <v>0</v>
      </c>
      <c r="BO33" t="s">
        <v>50</v>
      </c>
      <c r="BP33">
        <v>1</v>
      </c>
      <c r="BQ33">
        <v>40</v>
      </c>
      <c r="BR33">
        <v>0</v>
      </c>
      <c r="BS33">
        <v>24.82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77</v>
      </c>
      <c r="CA33">
        <v>41</v>
      </c>
      <c r="CE33">
        <v>30</v>
      </c>
      <c r="CF33">
        <v>0</v>
      </c>
      <c r="CG33">
        <v>0</v>
      </c>
      <c r="CM33">
        <v>0</v>
      </c>
      <c r="CN33" t="s">
        <v>171</v>
      </c>
      <c r="CO33">
        <v>0</v>
      </c>
      <c r="CP33">
        <f t="shared" si="33"/>
        <v>10565.84</v>
      </c>
      <c r="CQ33">
        <f t="shared" si="34"/>
        <v>429.55</v>
      </c>
      <c r="CR33">
        <f>(ROUND((ROUND((((ET33*1.2))*AV33*1),2)*BB33),2)+ROUND((ROUND(((AE33-((EU33*1.2)))*AV33*1),2)*BS33),2))</f>
        <v>7039.25</v>
      </c>
      <c r="CS33">
        <f t="shared" si="35"/>
        <v>3785.05</v>
      </c>
      <c r="CT33">
        <f t="shared" si="36"/>
        <v>21880.82</v>
      </c>
      <c r="CU33">
        <f t="shared" si="37"/>
        <v>0</v>
      </c>
      <c r="CV33">
        <f t="shared" si="38"/>
        <v>69.855840000000001</v>
      </c>
      <c r="CW33">
        <f t="shared" si="39"/>
        <v>0</v>
      </c>
      <c r="CX33">
        <f t="shared" si="39"/>
        <v>0</v>
      </c>
      <c r="CY33">
        <f t="shared" si="40"/>
        <v>6065.3824000000004</v>
      </c>
      <c r="CZ33">
        <f t="shared" si="41"/>
        <v>3229.6191999999996</v>
      </c>
      <c r="DC33" t="s">
        <v>3</v>
      </c>
      <c r="DD33" t="s">
        <v>3</v>
      </c>
      <c r="DE33" t="s">
        <v>36</v>
      </c>
      <c r="DF33" t="s">
        <v>36</v>
      </c>
      <c r="DG33" t="s">
        <v>36</v>
      </c>
      <c r="DH33" t="s">
        <v>3</v>
      </c>
      <c r="DI33" t="s">
        <v>36</v>
      </c>
      <c r="DJ33" t="s">
        <v>36</v>
      </c>
      <c r="DK33" t="s">
        <v>3</v>
      </c>
      <c r="DL33" t="s">
        <v>3</v>
      </c>
      <c r="DM33" t="s">
        <v>3</v>
      </c>
      <c r="DN33">
        <v>114</v>
      </c>
      <c r="DO33">
        <v>67</v>
      </c>
      <c r="DP33">
        <v>1.0469999999999999</v>
      </c>
      <c r="DQ33">
        <v>1</v>
      </c>
      <c r="DU33">
        <v>1003</v>
      </c>
      <c r="DV33" t="s">
        <v>52</v>
      </c>
      <c r="DW33" t="s">
        <v>52</v>
      </c>
      <c r="DX33">
        <v>100</v>
      </c>
      <c r="DZ33" t="s">
        <v>3</v>
      </c>
      <c r="EA33" t="s">
        <v>3</v>
      </c>
      <c r="EB33" t="s">
        <v>3</v>
      </c>
      <c r="EC33" t="s">
        <v>3</v>
      </c>
      <c r="EE33">
        <v>22827158</v>
      </c>
      <c r="EF33">
        <v>40</v>
      </c>
      <c r="EG33" t="s">
        <v>30</v>
      </c>
      <c r="EH33">
        <v>0</v>
      </c>
      <c r="EI33" t="s">
        <v>3</v>
      </c>
      <c r="EJ33">
        <v>2</v>
      </c>
      <c r="EK33">
        <v>317</v>
      </c>
      <c r="EL33" t="s">
        <v>31</v>
      </c>
      <c r="EM33" t="s">
        <v>32</v>
      </c>
      <c r="EO33" t="s">
        <v>37</v>
      </c>
      <c r="EQ33">
        <v>0</v>
      </c>
      <c r="ER33">
        <v>1306</v>
      </c>
      <c r="ES33">
        <v>81.2</v>
      </c>
      <c r="ET33">
        <v>523.13</v>
      </c>
      <c r="EU33">
        <v>121.38</v>
      </c>
      <c r="EV33">
        <v>701.67</v>
      </c>
      <c r="EW33">
        <v>55.6</v>
      </c>
      <c r="EX33">
        <v>0</v>
      </c>
      <c r="EY33">
        <v>0</v>
      </c>
      <c r="FQ33">
        <v>0</v>
      </c>
      <c r="FR33">
        <f t="shared" si="42"/>
        <v>0</v>
      </c>
      <c r="FS33">
        <v>0</v>
      </c>
      <c r="FX33">
        <v>114</v>
      </c>
      <c r="FY33">
        <v>67</v>
      </c>
      <c r="GA33" t="s">
        <v>3</v>
      </c>
      <c r="GD33">
        <v>0</v>
      </c>
      <c r="GF33">
        <v>1082002732</v>
      </c>
      <c r="GG33">
        <v>2</v>
      </c>
      <c r="GH33">
        <v>1</v>
      </c>
      <c r="GI33">
        <v>2</v>
      </c>
      <c r="GJ33">
        <v>0</v>
      </c>
      <c r="GK33">
        <f>ROUND(R33*(R12)/100,2)</f>
        <v>2139.31</v>
      </c>
      <c r="GL33">
        <f t="shared" si="43"/>
        <v>0</v>
      </c>
      <c r="GM33">
        <f t="shared" si="44"/>
        <v>22000.15</v>
      </c>
      <c r="GN33">
        <f t="shared" si="45"/>
        <v>0</v>
      </c>
      <c r="GO33">
        <f t="shared" si="46"/>
        <v>22000.15</v>
      </c>
      <c r="GP33">
        <f t="shared" si="47"/>
        <v>0</v>
      </c>
      <c r="GR33">
        <v>0</v>
      </c>
      <c r="GS33">
        <v>0</v>
      </c>
      <c r="GT33">
        <v>0</v>
      </c>
      <c r="GU33" t="s">
        <v>3</v>
      </c>
      <c r="GV33">
        <f t="shared" si="48"/>
        <v>0</v>
      </c>
      <c r="GW33">
        <v>1</v>
      </c>
      <c r="GX33">
        <f t="shared" si="49"/>
        <v>0</v>
      </c>
      <c r="HA33">
        <v>0</v>
      </c>
      <c r="HB33">
        <v>0</v>
      </c>
      <c r="HC33">
        <f t="shared" si="50"/>
        <v>0</v>
      </c>
      <c r="HE33" t="s">
        <v>3</v>
      </c>
      <c r="HF33" t="s">
        <v>3</v>
      </c>
      <c r="IK33">
        <v>0</v>
      </c>
    </row>
    <row r="35" spans="1:245" x14ac:dyDescent="0.2">
      <c r="A35" s="2">
        <v>51</v>
      </c>
      <c r="B35" s="2">
        <f>B24</f>
        <v>1</v>
      </c>
      <c r="C35" s="2">
        <f>A24</f>
        <v>4</v>
      </c>
      <c r="D35" s="2">
        <f>ROW(A24)</f>
        <v>24</v>
      </c>
      <c r="E35" s="2"/>
      <c r="F35" s="2" t="str">
        <f>IF(F24&lt;&gt;"",F24,"")</f>
        <v>Новый раздел</v>
      </c>
      <c r="G35" s="2" t="str">
        <f>IF(G24&lt;&gt;"",G24,"")</f>
        <v>Электромонтажные работы</v>
      </c>
      <c r="H35" s="2">
        <v>0</v>
      </c>
      <c r="I35" s="2"/>
      <c r="J35" s="2"/>
      <c r="K35" s="2"/>
      <c r="L35" s="2"/>
      <c r="M35" s="2"/>
      <c r="N35" s="2"/>
      <c r="O35" s="2">
        <f t="shared" ref="O35:T35" si="53">ROUND(AB35,2)</f>
        <v>189399.75</v>
      </c>
      <c r="P35" s="2">
        <f t="shared" si="53"/>
        <v>14477.1</v>
      </c>
      <c r="Q35" s="2">
        <f t="shared" si="53"/>
        <v>12439.76</v>
      </c>
      <c r="R35" s="2">
        <f t="shared" si="53"/>
        <v>6211.46</v>
      </c>
      <c r="S35" s="2">
        <f t="shared" si="53"/>
        <v>162482.89000000001</v>
      </c>
      <c r="T35" s="2">
        <f t="shared" si="53"/>
        <v>0</v>
      </c>
      <c r="U35" s="2">
        <f>AH35</f>
        <v>518.73991919999992</v>
      </c>
      <c r="V35" s="2">
        <f>AI35</f>
        <v>0</v>
      </c>
      <c r="W35" s="2">
        <f>ROUND(AJ35,2)</f>
        <v>0</v>
      </c>
      <c r="X35" s="2">
        <f>ROUND(AK35,2)</f>
        <v>125111.82</v>
      </c>
      <c r="Y35" s="2">
        <f>ROUND(AL35,2)</f>
        <v>66617.990000000005</v>
      </c>
      <c r="Z35" s="2"/>
      <c r="AA35" s="2"/>
      <c r="AB35" s="2">
        <f>ROUND(SUMIF(AA28:AA33,"=23646166",O28:O33),2)</f>
        <v>189399.75</v>
      </c>
      <c r="AC35" s="2">
        <f>ROUND(SUMIF(AA28:AA33,"=23646166",P28:P33),2)</f>
        <v>14477.1</v>
      </c>
      <c r="AD35" s="2">
        <f>ROUND(SUMIF(AA28:AA33,"=23646166",Q28:Q33),2)</f>
        <v>12439.76</v>
      </c>
      <c r="AE35" s="2">
        <f>ROUND(SUMIF(AA28:AA33,"=23646166",R28:R33),2)</f>
        <v>6211.46</v>
      </c>
      <c r="AF35" s="2">
        <f>ROUND(SUMIF(AA28:AA33,"=23646166",S28:S33),2)</f>
        <v>162482.89000000001</v>
      </c>
      <c r="AG35" s="2">
        <f>ROUND(SUMIF(AA28:AA33,"=23646166",T28:T33),2)</f>
        <v>0</v>
      </c>
      <c r="AH35" s="2">
        <f>SUMIF(AA28:AA33,"=23646166",U28:U33)</f>
        <v>518.73991919999992</v>
      </c>
      <c r="AI35" s="2">
        <f>SUMIF(AA28:AA33,"=23646166",V28:V33)</f>
        <v>0</v>
      </c>
      <c r="AJ35" s="2">
        <f>ROUND(SUMIF(AA28:AA33,"=23646166",W28:W33),2)</f>
        <v>0</v>
      </c>
      <c r="AK35" s="2">
        <f>ROUND(SUMIF(AA28:AA33,"=23646166",X28:X33),2)</f>
        <v>125111.82</v>
      </c>
      <c r="AL35" s="2">
        <f>ROUND(SUMIF(AA28:AA33,"=23646166",Y28:Y33),2)</f>
        <v>66617.990000000005</v>
      </c>
      <c r="AM35" s="2"/>
      <c r="AN35" s="2"/>
      <c r="AO35" s="2">
        <f t="shared" ref="AO35:BD35" si="54">ROUND(BX35,2)</f>
        <v>0</v>
      </c>
      <c r="AP35" s="2">
        <f t="shared" si="54"/>
        <v>0</v>
      </c>
      <c r="AQ35" s="2">
        <f t="shared" si="54"/>
        <v>0</v>
      </c>
      <c r="AR35" s="2">
        <f t="shared" si="54"/>
        <v>390881.54</v>
      </c>
      <c r="AS35" s="2">
        <f t="shared" si="54"/>
        <v>0</v>
      </c>
      <c r="AT35" s="2">
        <f t="shared" si="54"/>
        <v>390881.54</v>
      </c>
      <c r="AU35" s="2">
        <f t="shared" si="54"/>
        <v>0</v>
      </c>
      <c r="AV35" s="2">
        <f t="shared" si="54"/>
        <v>14477.1</v>
      </c>
      <c r="AW35" s="2">
        <f t="shared" si="54"/>
        <v>14477.1</v>
      </c>
      <c r="AX35" s="2">
        <f t="shared" si="54"/>
        <v>0</v>
      </c>
      <c r="AY35" s="2">
        <f t="shared" si="54"/>
        <v>14477.1</v>
      </c>
      <c r="AZ35" s="2">
        <f t="shared" si="54"/>
        <v>0</v>
      </c>
      <c r="BA35" s="2">
        <f t="shared" si="54"/>
        <v>0</v>
      </c>
      <c r="BB35" s="2">
        <f t="shared" si="54"/>
        <v>0</v>
      </c>
      <c r="BC35" s="2">
        <f t="shared" si="54"/>
        <v>0</v>
      </c>
      <c r="BD35" s="2">
        <f t="shared" si="54"/>
        <v>0</v>
      </c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>
        <f>ROUND(SUMIF(AA28:AA33,"=23646166",FQ28:FQ33),2)</f>
        <v>0</v>
      </c>
      <c r="BY35" s="2">
        <f>ROUND(SUMIF(AA28:AA33,"=23646166",FR28:FR33),2)</f>
        <v>0</v>
      </c>
      <c r="BZ35" s="2">
        <f>ROUND(SUMIF(AA28:AA33,"=23646166",GL28:GL33),2)</f>
        <v>0</v>
      </c>
      <c r="CA35" s="2">
        <f>ROUND(SUMIF(AA28:AA33,"=23646166",GM28:GM33),2)</f>
        <v>390881.54</v>
      </c>
      <c r="CB35" s="2">
        <f>ROUND(SUMIF(AA28:AA33,"=23646166",GN28:GN33),2)</f>
        <v>0</v>
      </c>
      <c r="CC35" s="2">
        <f>ROUND(SUMIF(AA28:AA33,"=23646166",GO28:GO33),2)</f>
        <v>390881.54</v>
      </c>
      <c r="CD35" s="2">
        <f>ROUND(SUMIF(AA28:AA33,"=23646166",GP28:GP33),2)</f>
        <v>0</v>
      </c>
      <c r="CE35" s="2">
        <f>AC35-BX35</f>
        <v>14477.1</v>
      </c>
      <c r="CF35" s="2">
        <f>AC35-BY35</f>
        <v>14477.1</v>
      </c>
      <c r="CG35" s="2">
        <f>BX35-BZ35</f>
        <v>0</v>
      </c>
      <c r="CH35" s="2">
        <f>AC35-BX35-BY35+BZ35</f>
        <v>14477.1</v>
      </c>
      <c r="CI35" s="2">
        <f>BY35-BZ35</f>
        <v>0</v>
      </c>
      <c r="CJ35" s="2">
        <f>ROUND(SUMIF(AA28:AA33,"=23646166",GX28:GX33),2)</f>
        <v>0</v>
      </c>
      <c r="CK35" s="2">
        <f>ROUND(SUMIF(AA28:AA33,"=23646166",GY28:GY33),2)</f>
        <v>0</v>
      </c>
      <c r="CL35" s="2">
        <f>ROUND(SUMIF(AA28:AA33,"=23646166",GZ28:GZ33),2)</f>
        <v>0</v>
      </c>
      <c r="CM35" s="2">
        <f>ROUND(SUMIF(AA28:AA33,"=23646166",HD28:HD33),2)</f>
        <v>0</v>
      </c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>
        <v>0</v>
      </c>
    </row>
    <row r="37" spans="1:245" x14ac:dyDescent="0.2">
      <c r="A37" s="4">
        <v>50</v>
      </c>
      <c r="B37" s="4">
        <v>0</v>
      </c>
      <c r="C37" s="4">
        <v>0</v>
      </c>
      <c r="D37" s="4">
        <v>1</v>
      </c>
      <c r="E37" s="4">
        <v>201</v>
      </c>
      <c r="F37" s="4">
        <f>ROUND(Source!O35,O37)</f>
        <v>189399.75</v>
      </c>
      <c r="G37" s="4" t="s">
        <v>54</v>
      </c>
      <c r="H37" s="4" t="s">
        <v>55</v>
      </c>
      <c r="I37" s="4"/>
      <c r="J37" s="4"/>
      <c r="K37" s="4">
        <v>201</v>
      </c>
      <c r="L37" s="4">
        <v>1</v>
      </c>
      <c r="M37" s="4">
        <v>3</v>
      </c>
      <c r="N37" s="4" t="s">
        <v>3</v>
      </c>
      <c r="O37" s="4">
        <v>2</v>
      </c>
      <c r="P37" s="4"/>
      <c r="Q37" s="4"/>
      <c r="R37" s="4"/>
      <c r="S37" s="4"/>
      <c r="T37" s="4"/>
      <c r="U37" s="4"/>
      <c r="V37" s="4"/>
      <c r="W37" s="4"/>
    </row>
    <row r="38" spans="1:245" x14ac:dyDescent="0.2">
      <c r="A38" s="4">
        <v>50</v>
      </c>
      <c r="B38" s="4">
        <v>0</v>
      </c>
      <c r="C38" s="4">
        <v>0</v>
      </c>
      <c r="D38" s="4">
        <v>1</v>
      </c>
      <c r="E38" s="4">
        <v>202</v>
      </c>
      <c r="F38" s="4">
        <f>ROUND(Source!P35,O38)</f>
        <v>14477.1</v>
      </c>
      <c r="G38" s="4" t="s">
        <v>56</v>
      </c>
      <c r="H38" s="4" t="s">
        <v>57</v>
      </c>
      <c r="I38" s="4"/>
      <c r="J38" s="4"/>
      <c r="K38" s="4">
        <v>202</v>
      </c>
      <c r="L38" s="4">
        <v>2</v>
      </c>
      <c r="M38" s="4">
        <v>3</v>
      </c>
      <c r="N38" s="4" t="s">
        <v>3</v>
      </c>
      <c r="O38" s="4">
        <v>2</v>
      </c>
      <c r="P38" s="4"/>
      <c r="Q38" s="4"/>
      <c r="R38" s="4"/>
      <c r="S38" s="4"/>
      <c r="T38" s="4"/>
      <c r="U38" s="4"/>
      <c r="V38" s="4"/>
      <c r="W38" s="4"/>
    </row>
    <row r="39" spans="1:245" x14ac:dyDescent="0.2">
      <c r="A39" s="4">
        <v>50</v>
      </c>
      <c r="B39" s="4">
        <v>0</v>
      </c>
      <c r="C39" s="4">
        <v>0</v>
      </c>
      <c r="D39" s="4">
        <v>1</v>
      </c>
      <c r="E39" s="4">
        <v>222</v>
      </c>
      <c r="F39" s="4">
        <f>ROUND(Source!AO35,O39)</f>
        <v>0</v>
      </c>
      <c r="G39" s="4" t="s">
        <v>58</v>
      </c>
      <c r="H39" s="4" t="s">
        <v>59</v>
      </c>
      <c r="I39" s="4"/>
      <c r="J39" s="4"/>
      <c r="K39" s="4">
        <v>222</v>
      </c>
      <c r="L39" s="4">
        <v>3</v>
      </c>
      <c r="M39" s="4">
        <v>3</v>
      </c>
      <c r="N39" s="4" t="s">
        <v>3</v>
      </c>
      <c r="O39" s="4">
        <v>2</v>
      </c>
      <c r="P39" s="4"/>
      <c r="Q39" s="4"/>
      <c r="R39" s="4"/>
      <c r="S39" s="4"/>
      <c r="T39" s="4"/>
      <c r="U39" s="4"/>
      <c r="V39" s="4"/>
      <c r="W39" s="4"/>
    </row>
    <row r="40" spans="1:245" x14ac:dyDescent="0.2">
      <c r="A40" s="4">
        <v>50</v>
      </c>
      <c r="B40" s="4">
        <v>0</v>
      </c>
      <c r="C40" s="4">
        <v>0</v>
      </c>
      <c r="D40" s="4">
        <v>1</v>
      </c>
      <c r="E40" s="4">
        <v>225</v>
      </c>
      <c r="F40" s="4">
        <f>ROUND(Source!AV35,O40)</f>
        <v>14477.1</v>
      </c>
      <c r="G40" s="4" t="s">
        <v>60</v>
      </c>
      <c r="H40" s="4" t="s">
        <v>61</v>
      </c>
      <c r="I40" s="4"/>
      <c r="J40" s="4"/>
      <c r="K40" s="4">
        <v>225</v>
      </c>
      <c r="L40" s="4">
        <v>4</v>
      </c>
      <c r="M40" s="4">
        <v>3</v>
      </c>
      <c r="N40" s="4" t="s">
        <v>3</v>
      </c>
      <c r="O40" s="4">
        <v>2</v>
      </c>
      <c r="P40" s="4"/>
      <c r="Q40" s="4"/>
      <c r="R40" s="4"/>
      <c r="S40" s="4"/>
      <c r="T40" s="4"/>
      <c r="U40" s="4"/>
      <c r="V40" s="4"/>
      <c r="W40" s="4"/>
    </row>
    <row r="41" spans="1:245" x14ac:dyDescent="0.2">
      <c r="A41" s="4">
        <v>50</v>
      </c>
      <c r="B41" s="4">
        <v>0</v>
      </c>
      <c r="C41" s="4">
        <v>0</v>
      </c>
      <c r="D41" s="4">
        <v>1</v>
      </c>
      <c r="E41" s="4">
        <v>226</v>
      </c>
      <c r="F41" s="4">
        <f>ROUND(Source!AW35,O41)</f>
        <v>14477.1</v>
      </c>
      <c r="G41" s="4" t="s">
        <v>62</v>
      </c>
      <c r="H41" s="4" t="s">
        <v>63</v>
      </c>
      <c r="I41" s="4"/>
      <c r="J41" s="4"/>
      <c r="K41" s="4">
        <v>226</v>
      </c>
      <c r="L41" s="4">
        <v>5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/>
    </row>
    <row r="42" spans="1:245" x14ac:dyDescent="0.2">
      <c r="A42" s="4">
        <v>50</v>
      </c>
      <c r="B42" s="4">
        <v>0</v>
      </c>
      <c r="C42" s="4">
        <v>0</v>
      </c>
      <c r="D42" s="4">
        <v>1</v>
      </c>
      <c r="E42" s="4">
        <v>227</v>
      </c>
      <c r="F42" s="4">
        <f>ROUND(Source!AX35,O42)</f>
        <v>0</v>
      </c>
      <c r="G42" s="4" t="s">
        <v>64</v>
      </c>
      <c r="H42" s="4" t="s">
        <v>65</v>
      </c>
      <c r="I42" s="4"/>
      <c r="J42" s="4"/>
      <c r="K42" s="4">
        <v>227</v>
      </c>
      <c r="L42" s="4">
        <v>6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45" x14ac:dyDescent="0.2">
      <c r="A43" s="4">
        <v>50</v>
      </c>
      <c r="B43" s="4">
        <v>0</v>
      </c>
      <c r="C43" s="4">
        <v>0</v>
      </c>
      <c r="D43" s="4">
        <v>1</v>
      </c>
      <c r="E43" s="4">
        <v>228</v>
      </c>
      <c r="F43" s="4">
        <f>ROUND(Source!AY35,O43)</f>
        <v>14477.1</v>
      </c>
      <c r="G43" s="4" t="s">
        <v>66</v>
      </c>
      <c r="H43" s="4" t="s">
        <v>67</v>
      </c>
      <c r="I43" s="4"/>
      <c r="J43" s="4"/>
      <c r="K43" s="4">
        <v>228</v>
      </c>
      <c r="L43" s="4">
        <v>7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216</v>
      </c>
      <c r="F44" s="4">
        <f>ROUND(Source!AP35,O44)</f>
        <v>0</v>
      </c>
      <c r="G44" s="4" t="s">
        <v>68</v>
      </c>
      <c r="H44" s="4" t="s">
        <v>69</v>
      </c>
      <c r="I44" s="4"/>
      <c r="J44" s="4"/>
      <c r="K44" s="4">
        <v>216</v>
      </c>
      <c r="L44" s="4">
        <v>8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223</v>
      </c>
      <c r="F45" s="4">
        <f>ROUND(Source!AQ35,O45)</f>
        <v>0</v>
      </c>
      <c r="G45" s="4" t="s">
        <v>70</v>
      </c>
      <c r="H45" s="4" t="s">
        <v>71</v>
      </c>
      <c r="I45" s="4"/>
      <c r="J45" s="4"/>
      <c r="K45" s="4">
        <v>223</v>
      </c>
      <c r="L45" s="4">
        <v>9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229</v>
      </c>
      <c r="F46" s="4">
        <f>ROUND(Source!AZ35,O46)</f>
        <v>0</v>
      </c>
      <c r="G46" s="4" t="s">
        <v>72</v>
      </c>
      <c r="H46" s="4" t="s">
        <v>73</v>
      </c>
      <c r="I46" s="4"/>
      <c r="J46" s="4"/>
      <c r="K46" s="4">
        <v>229</v>
      </c>
      <c r="L46" s="4">
        <v>10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203</v>
      </c>
      <c r="F47" s="4">
        <f>ROUND(Source!Q35,O47)</f>
        <v>12439.76</v>
      </c>
      <c r="G47" s="4" t="s">
        <v>74</v>
      </c>
      <c r="H47" s="4" t="s">
        <v>75</v>
      </c>
      <c r="I47" s="4"/>
      <c r="J47" s="4"/>
      <c r="K47" s="4">
        <v>203</v>
      </c>
      <c r="L47" s="4">
        <v>11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231</v>
      </c>
      <c r="F48" s="4">
        <f>ROUND(Source!BB35,O48)</f>
        <v>0</v>
      </c>
      <c r="G48" s="4" t="s">
        <v>76</v>
      </c>
      <c r="H48" s="4" t="s">
        <v>77</v>
      </c>
      <c r="I48" s="4"/>
      <c r="J48" s="4"/>
      <c r="K48" s="4">
        <v>231</v>
      </c>
      <c r="L48" s="4">
        <v>12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204</v>
      </c>
      <c r="F49" s="4">
        <f>ROUND(Source!R35,O49)</f>
        <v>6211.46</v>
      </c>
      <c r="G49" s="4" t="s">
        <v>78</v>
      </c>
      <c r="H49" s="4" t="s">
        <v>79</v>
      </c>
      <c r="I49" s="4"/>
      <c r="J49" s="4"/>
      <c r="K49" s="4">
        <v>204</v>
      </c>
      <c r="L49" s="4">
        <v>13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205</v>
      </c>
      <c r="F50" s="4">
        <f>ROUND(Source!S35,O50)</f>
        <v>162482.89000000001</v>
      </c>
      <c r="G50" s="4" t="s">
        <v>80</v>
      </c>
      <c r="H50" s="4" t="s">
        <v>81</v>
      </c>
      <c r="I50" s="4"/>
      <c r="J50" s="4"/>
      <c r="K50" s="4">
        <v>205</v>
      </c>
      <c r="L50" s="4">
        <v>14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232</v>
      </c>
      <c r="F51" s="4">
        <f>ROUND(Source!BC35,O51)</f>
        <v>0</v>
      </c>
      <c r="G51" s="4" t="s">
        <v>82</v>
      </c>
      <c r="H51" s="4" t="s">
        <v>83</v>
      </c>
      <c r="I51" s="4"/>
      <c r="J51" s="4"/>
      <c r="K51" s="4">
        <v>232</v>
      </c>
      <c r="L51" s="4">
        <v>15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214</v>
      </c>
      <c r="F52" s="4">
        <f>ROUND(Source!AS35,O52)</f>
        <v>0</v>
      </c>
      <c r="G52" s="4" t="s">
        <v>84</v>
      </c>
      <c r="H52" s="4" t="s">
        <v>85</v>
      </c>
      <c r="I52" s="4"/>
      <c r="J52" s="4"/>
      <c r="K52" s="4">
        <v>214</v>
      </c>
      <c r="L52" s="4">
        <v>16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215</v>
      </c>
      <c r="F53" s="4">
        <f>ROUND(Source!AT35,O53)</f>
        <v>390881.54</v>
      </c>
      <c r="G53" s="4" t="s">
        <v>86</v>
      </c>
      <c r="H53" s="4" t="s">
        <v>87</v>
      </c>
      <c r="I53" s="4"/>
      <c r="J53" s="4"/>
      <c r="K53" s="4">
        <v>215</v>
      </c>
      <c r="L53" s="4">
        <v>17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217</v>
      </c>
      <c r="F54" s="4">
        <f>ROUND(Source!AU35,O54)</f>
        <v>0</v>
      </c>
      <c r="G54" s="4" t="s">
        <v>88</v>
      </c>
      <c r="H54" s="4" t="s">
        <v>89</v>
      </c>
      <c r="I54" s="4"/>
      <c r="J54" s="4"/>
      <c r="K54" s="4">
        <v>217</v>
      </c>
      <c r="L54" s="4">
        <v>18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230</v>
      </c>
      <c r="F55" s="4">
        <f>ROUND(Source!BA35,O55)</f>
        <v>0</v>
      </c>
      <c r="G55" s="4" t="s">
        <v>90</v>
      </c>
      <c r="H55" s="4" t="s">
        <v>91</v>
      </c>
      <c r="I55" s="4"/>
      <c r="J55" s="4"/>
      <c r="K55" s="4">
        <v>230</v>
      </c>
      <c r="L55" s="4">
        <v>19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206</v>
      </c>
      <c r="F56" s="4">
        <f>ROUND(Source!T35,O56)</f>
        <v>0</v>
      </c>
      <c r="G56" s="4" t="s">
        <v>92</v>
      </c>
      <c r="H56" s="4" t="s">
        <v>93</v>
      </c>
      <c r="I56" s="4"/>
      <c r="J56" s="4"/>
      <c r="K56" s="4">
        <v>206</v>
      </c>
      <c r="L56" s="4">
        <v>20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207</v>
      </c>
      <c r="F57" s="4">
        <f>Source!U35</f>
        <v>518.73991919999992</v>
      </c>
      <c r="G57" s="4" t="s">
        <v>94</v>
      </c>
      <c r="H57" s="4" t="s">
        <v>95</v>
      </c>
      <c r="I57" s="4"/>
      <c r="J57" s="4"/>
      <c r="K57" s="4">
        <v>207</v>
      </c>
      <c r="L57" s="4">
        <v>21</v>
      </c>
      <c r="M57" s="4">
        <v>3</v>
      </c>
      <c r="N57" s="4" t="s">
        <v>3</v>
      </c>
      <c r="O57" s="4">
        <v>-1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208</v>
      </c>
      <c r="F58" s="4">
        <f>Source!V35</f>
        <v>0</v>
      </c>
      <c r="G58" s="4" t="s">
        <v>96</v>
      </c>
      <c r="H58" s="4" t="s">
        <v>97</v>
      </c>
      <c r="I58" s="4"/>
      <c r="J58" s="4"/>
      <c r="K58" s="4">
        <v>208</v>
      </c>
      <c r="L58" s="4">
        <v>22</v>
      </c>
      <c r="M58" s="4">
        <v>3</v>
      </c>
      <c r="N58" s="4" t="s">
        <v>3</v>
      </c>
      <c r="O58" s="4">
        <v>-1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209</v>
      </c>
      <c r="F59" s="4">
        <f>ROUND(Source!W35,O59)</f>
        <v>0</v>
      </c>
      <c r="G59" s="4" t="s">
        <v>98</v>
      </c>
      <c r="H59" s="4" t="s">
        <v>99</v>
      </c>
      <c r="I59" s="4"/>
      <c r="J59" s="4"/>
      <c r="K59" s="4">
        <v>209</v>
      </c>
      <c r="L59" s="4">
        <v>23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233</v>
      </c>
      <c r="F60" s="4">
        <f>ROUND(Source!BD35,O60)</f>
        <v>0</v>
      </c>
      <c r="G60" s="4" t="s">
        <v>100</v>
      </c>
      <c r="H60" s="4" t="s">
        <v>101</v>
      </c>
      <c r="I60" s="4"/>
      <c r="J60" s="4"/>
      <c r="K60" s="4">
        <v>233</v>
      </c>
      <c r="L60" s="4">
        <v>24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210</v>
      </c>
      <c r="F61" s="4">
        <f>ROUND(Source!X35,O61)</f>
        <v>125111.82</v>
      </c>
      <c r="G61" s="4" t="s">
        <v>102</v>
      </c>
      <c r="H61" s="4" t="s">
        <v>103</v>
      </c>
      <c r="I61" s="4"/>
      <c r="J61" s="4"/>
      <c r="K61" s="4">
        <v>210</v>
      </c>
      <c r="L61" s="4">
        <v>25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211</v>
      </c>
      <c r="F62" s="4">
        <f>ROUND(Source!Y35,O62)</f>
        <v>66617.990000000005</v>
      </c>
      <c r="G62" s="4" t="s">
        <v>104</v>
      </c>
      <c r="H62" s="4" t="s">
        <v>105</v>
      </c>
      <c r="I62" s="4"/>
      <c r="J62" s="4"/>
      <c r="K62" s="4">
        <v>211</v>
      </c>
      <c r="L62" s="4">
        <v>26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224</v>
      </c>
      <c r="F63" s="4">
        <f>ROUND(Source!AR35,O63)</f>
        <v>390881.54</v>
      </c>
      <c r="G63" s="4" t="s">
        <v>106</v>
      </c>
      <c r="H63" s="4" t="s">
        <v>107</v>
      </c>
      <c r="I63" s="4"/>
      <c r="J63" s="4"/>
      <c r="K63" s="4">
        <v>224</v>
      </c>
      <c r="L63" s="4">
        <v>27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5" spans="1:245" x14ac:dyDescent="0.2">
      <c r="A65" s="1">
        <v>4</v>
      </c>
      <c r="B65" s="1">
        <v>1</v>
      </c>
      <c r="C65" s="1"/>
      <c r="D65" s="1">
        <f>ROW(A77)</f>
        <v>77</v>
      </c>
      <c r="E65" s="1"/>
      <c r="F65" s="1" t="s">
        <v>21</v>
      </c>
      <c r="G65" s="1" t="s">
        <v>108</v>
      </c>
      <c r="H65" s="1" t="s">
        <v>3</v>
      </c>
      <c r="I65" s="1">
        <v>0</v>
      </c>
      <c r="J65" s="1"/>
      <c r="K65" s="1">
        <v>-1</v>
      </c>
      <c r="L65" s="1"/>
      <c r="M65" s="1" t="s">
        <v>3</v>
      </c>
      <c r="N65" s="1"/>
      <c r="O65" s="1"/>
      <c r="P65" s="1"/>
      <c r="Q65" s="1"/>
      <c r="R65" s="1"/>
      <c r="S65" s="1">
        <v>0</v>
      </c>
      <c r="T65" s="1"/>
      <c r="U65" s="1" t="s">
        <v>3</v>
      </c>
      <c r="V65" s="1">
        <v>0</v>
      </c>
      <c r="W65" s="1"/>
      <c r="X65" s="1"/>
      <c r="Y65" s="1"/>
      <c r="Z65" s="1"/>
      <c r="AA65" s="1"/>
      <c r="AB65" s="1" t="s">
        <v>3</v>
      </c>
      <c r="AC65" s="1" t="s">
        <v>3</v>
      </c>
      <c r="AD65" s="1" t="s">
        <v>3</v>
      </c>
      <c r="AE65" s="1" t="s">
        <v>3</v>
      </c>
      <c r="AF65" s="1" t="s">
        <v>3</v>
      </c>
      <c r="AG65" s="1" t="s">
        <v>3</v>
      </c>
      <c r="AH65" s="1"/>
      <c r="AI65" s="1"/>
      <c r="AJ65" s="1"/>
      <c r="AK65" s="1"/>
      <c r="AL65" s="1"/>
      <c r="AM65" s="1"/>
      <c r="AN65" s="1"/>
      <c r="AO65" s="1"/>
      <c r="AP65" s="1" t="s">
        <v>3</v>
      </c>
      <c r="AQ65" s="1" t="s">
        <v>3</v>
      </c>
      <c r="AR65" s="1" t="s">
        <v>3</v>
      </c>
      <c r="AS65" s="1"/>
      <c r="AT65" s="1"/>
      <c r="AU65" s="1"/>
      <c r="AV65" s="1"/>
      <c r="AW65" s="1"/>
      <c r="AX65" s="1"/>
      <c r="AY65" s="1"/>
      <c r="AZ65" s="1" t="s">
        <v>3</v>
      </c>
      <c r="BA65" s="1"/>
      <c r="BB65" s="1" t="s">
        <v>3</v>
      </c>
      <c r="BC65" s="1" t="s">
        <v>3</v>
      </c>
      <c r="BD65" s="1" t="s">
        <v>3</v>
      </c>
      <c r="BE65" s="1" t="s">
        <v>3</v>
      </c>
      <c r="BF65" s="1" t="s">
        <v>3</v>
      </c>
      <c r="BG65" s="1" t="s">
        <v>3</v>
      </c>
      <c r="BH65" s="1" t="s">
        <v>3</v>
      </c>
      <c r="BI65" s="1" t="s">
        <v>3</v>
      </c>
      <c r="BJ65" s="1" t="s">
        <v>3</v>
      </c>
      <c r="BK65" s="1" t="s">
        <v>3</v>
      </c>
      <c r="BL65" s="1" t="s">
        <v>3</v>
      </c>
      <c r="BM65" s="1" t="s">
        <v>3</v>
      </c>
      <c r="BN65" s="1" t="s">
        <v>3</v>
      </c>
      <c r="BO65" s="1" t="s">
        <v>3</v>
      </c>
      <c r="BP65" s="1" t="s">
        <v>3</v>
      </c>
      <c r="BQ65" s="1"/>
      <c r="BR65" s="1"/>
      <c r="BS65" s="1"/>
      <c r="BT65" s="1"/>
      <c r="BU65" s="1"/>
      <c r="BV65" s="1"/>
      <c r="BW65" s="1"/>
      <c r="BX65" s="1">
        <v>0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>
        <v>0</v>
      </c>
    </row>
    <row r="67" spans="1:245" x14ac:dyDescent="0.2">
      <c r="A67" s="2">
        <v>52</v>
      </c>
      <c r="B67" s="2">
        <f t="shared" ref="B67:G67" si="55">B77</f>
        <v>1</v>
      </c>
      <c r="C67" s="2">
        <f t="shared" si="55"/>
        <v>4</v>
      </c>
      <c r="D67" s="2">
        <f t="shared" si="55"/>
        <v>65</v>
      </c>
      <c r="E67" s="2">
        <f t="shared" si="55"/>
        <v>0</v>
      </c>
      <c r="F67" s="2" t="str">
        <f t="shared" si="55"/>
        <v>Новый раздел</v>
      </c>
      <c r="G67" s="2" t="str">
        <f t="shared" si="55"/>
        <v>Пусконаладочные работы</v>
      </c>
      <c r="H67" s="2"/>
      <c r="I67" s="2"/>
      <c r="J67" s="2"/>
      <c r="K67" s="2"/>
      <c r="L67" s="2"/>
      <c r="M67" s="2"/>
      <c r="N67" s="2"/>
      <c r="O67" s="2">
        <f t="shared" ref="O67:AT67" si="56">O77</f>
        <v>81394.710000000006</v>
      </c>
      <c r="P67" s="2">
        <f t="shared" si="56"/>
        <v>0</v>
      </c>
      <c r="Q67" s="2">
        <f t="shared" si="56"/>
        <v>0</v>
      </c>
      <c r="R67" s="2">
        <f t="shared" si="56"/>
        <v>0</v>
      </c>
      <c r="S67" s="2">
        <f t="shared" si="56"/>
        <v>81394.710000000006</v>
      </c>
      <c r="T67" s="2">
        <f t="shared" si="56"/>
        <v>0</v>
      </c>
      <c r="U67" s="2">
        <f t="shared" si="56"/>
        <v>209.50800000000001</v>
      </c>
      <c r="V67" s="2">
        <f t="shared" si="56"/>
        <v>0</v>
      </c>
      <c r="W67" s="2">
        <f t="shared" si="56"/>
        <v>0</v>
      </c>
      <c r="X67" s="2">
        <f t="shared" si="56"/>
        <v>55348.41</v>
      </c>
      <c r="Y67" s="2">
        <f t="shared" si="56"/>
        <v>33371.839999999997</v>
      </c>
      <c r="Z67" s="2">
        <f t="shared" si="56"/>
        <v>0</v>
      </c>
      <c r="AA67" s="2">
        <f t="shared" si="56"/>
        <v>0</v>
      </c>
      <c r="AB67" s="2">
        <f t="shared" si="56"/>
        <v>81394.710000000006</v>
      </c>
      <c r="AC67" s="2">
        <f t="shared" si="56"/>
        <v>0</v>
      </c>
      <c r="AD67" s="2">
        <f t="shared" si="56"/>
        <v>0</v>
      </c>
      <c r="AE67" s="2">
        <f t="shared" si="56"/>
        <v>0</v>
      </c>
      <c r="AF67" s="2">
        <f t="shared" si="56"/>
        <v>81394.710000000006</v>
      </c>
      <c r="AG67" s="2">
        <f t="shared" si="56"/>
        <v>0</v>
      </c>
      <c r="AH67" s="2">
        <f t="shared" si="56"/>
        <v>209.50800000000001</v>
      </c>
      <c r="AI67" s="2">
        <f t="shared" si="56"/>
        <v>0</v>
      </c>
      <c r="AJ67" s="2">
        <f t="shared" si="56"/>
        <v>0</v>
      </c>
      <c r="AK67" s="2">
        <f t="shared" si="56"/>
        <v>55348.41</v>
      </c>
      <c r="AL67" s="2">
        <f t="shared" si="56"/>
        <v>33371.839999999997</v>
      </c>
      <c r="AM67" s="2">
        <f t="shared" si="56"/>
        <v>0</v>
      </c>
      <c r="AN67" s="2">
        <f t="shared" si="56"/>
        <v>0</v>
      </c>
      <c r="AO67" s="2">
        <f t="shared" si="56"/>
        <v>0</v>
      </c>
      <c r="AP67" s="2">
        <f t="shared" si="56"/>
        <v>0</v>
      </c>
      <c r="AQ67" s="2">
        <f t="shared" si="56"/>
        <v>0</v>
      </c>
      <c r="AR67" s="2">
        <f t="shared" si="56"/>
        <v>170114.96</v>
      </c>
      <c r="AS67" s="2">
        <f t="shared" si="56"/>
        <v>0</v>
      </c>
      <c r="AT67" s="2">
        <f t="shared" si="56"/>
        <v>0</v>
      </c>
      <c r="AU67" s="2">
        <f t="shared" ref="AU67:BZ67" si="57">AU77</f>
        <v>170114.96</v>
      </c>
      <c r="AV67" s="2">
        <f t="shared" si="57"/>
        <v>0</v>
      </c>
      <c r="AW67" s="2">
        <f t="shared" si="57"/>
        <v>0</v>
      </c>
      <c r="AX67" s="2">
        <f t="shared" si="57"/>
        <v>0</v>
      </c>
      <c r="AY67" s="2">
        <f t="shared" si="57"/>
        <v>0</v>
      </c>
      <c r="AZ67" s="2">
        <f t="shared" si="57"/>
        <v>0</v>
      </c>
      <c r="BA67" s="2">
        <f t="shared" si="57"/>
        <v>0</v>
      </c>
      <c r="BB67" s="2">
        <f t="shared" si="57"/>
        <v>0</v>
      </c>
      <c r="BC67" s="2">
        <f t="shared" si="57"/>
        <v>0</v>
      </c>
      <c r="BD67" s="2">
        <f t="shared" si="57"/>
        <v>0</v>
      </c>
      <c r="BE67" s="2">
        <f t="shared" si="57"/>
        <v>0</v>
      </c>
      <c r="BF67" s="2">
        <f t="shared" si="57"/>
        <v>0</v>
      </c>
      <c r="BG67" s="2">
        <f t="shared" si="57"/>
        <v>0</v>
      </c>
      <c r="BH67" s="2">
        <f t="shared" si="57"/>
        <v>0</v>
      </c>
      <c r="BI67" s="2">
        <f t="shared" si="57"/>
        <v>0</v>
      </c>
      <c r="BJ67" s="2">
        <f t="shared" si="57"/>
        <v>0</v>
      </c>
      <c r="BK67" s="2">
        <f t="shared" si="57"/>
        <v>0</v>
      </c>
      <c r="BL67" s="2">
        <f t="shared" si="57"/>
        <v>0</v>
      </c>
      <c r="BM67" s="2">
        <f t="shared" si="57"/>
        <v>0</v>
      </c>
      <c r="BN67" s="2">
        <f t="shared" si="57"/>
        <v>0</v>
      </c>
      <c r="BO67" s="2">
        <f t="shared" si="57"/>
        <v>0</v>
      </c>
      <c r="BP67" s="2">
        <f t="shared" si="57"/>
        <v>0</v>
      </c>
      <c r="BQ67" s="2">
        <f t="shared" si="57"/>
        <v>0</v>
      </c>
      <c r="BR67" s="2">
        <f t="shared" si="57"/>
        <v>0</v>
      </c>
      <c r="BS67" s="2">
        <f t="shared" si="57"/>
        <v>0</v>
      </c>
      <c r="BT67" s="2">
        <f t="shared" si="57"/>
        <v>0</v>
      </c>
      <c r="BU67" s="2">
        <f t="shared" si="57"/>
        <v>0</v>
      </c>
      <c r="BV67" s="2">
        <f t="shared" si="57"/>
        <v>0</v>
      </c>
      <c r="BW67" s="2">
        <f t="shared" si="57"/>
        <v>0</v>
      </c>
      <c r="BX67" s="2">
        <f t="shared" si="57"/>
        <v>0</v>
      </c>
      <c r="BY67" s="2">
        <f t="shared" si="57"/>
        <v>0</v>
      </c>
      <c r="BZ67" s="2">
        <f t="shared" si="57"/>
        <v>0</v>
      </c>
      <c r="CA67" s="2">
        <f t="shared" ref="CA67:DF67" si="58">CA77</f>
        <v>170114.96</v>
      </c>
      <c r="CB67" s="2">
        <f t="shared" si="58"/>
        <v>0</v>
      </c>
      <c r="CC67" s="2">
        <f t="shared" si="58"/>
        <v>0</v>
      </c>
      <c r="CD67" s="2">
        <f t="shared" si="58"/>
        <v>170114.96</v>
      </c>
      <c r="CE67" s="2">
        <f t="shared" si="58"/>
        <v>0</v>
      </c>
      <c r="CF67" s="2">
        <f t="shared" si="58"/>
        <v>0</v>
      </c>
      <c r="CG67" s="2">
        <f t="shared" si="58"/>
        <v>0</v>
      </c>
      <c r="CH67" s="2">
        <f t="shared" si="58"/>
        <v>0</v>
      </c>
      <c r="CI67" s="2">
        <f t="shared" si="58"/>
        <v>0</v>
      </c>
      <c r="CJ67" s="2">
        <f t="shared" si="58"/>
        <v>0</v>
      </c>
      <c r="CK67" s="2">
        <f t="shared" si="58"/>
        <v>0</v>
      </c>
      <c r="CL67" s="2">
        <f t="shared" si="58"/>
        <v>0</v>
      </c>
      <c r="CM67" s="2">
        <f t="shared" si="58"/>
        <v>0</v>
      </c>
      <c r="CN67" s="2">
        <f t="shared" si="58"/>
        <v>0</v>
      </c>
      <c r="CO67" s="2">
        <f t="shared" si="58"/>
        <v>0</v>
      </c>
      <c r="CP67" s="2">
        <f t="shared" si="58"/>
        <v>0</v>
      </c>
      <c r="CQ67" s="2">
        <f t="shared" si="58"/>
        <v>0</v>
      </c>
      <c r="CR67" s="2">
        <f t="shared" si="58"/>
        <v>0</v>
      </c>
      <c r="CS67" s="2">
        <f t="shared" si="58"/>
        <v>0</v>
      </c>
      <c r="CT67" s="2">
        <f t="shared" si="58"/>
        <v>0</v>
      </c>
      <c r="CU67" s="2">
        <f t="shared" si="58"/>
        <v>0</v>
      </c>
      <c r="CV67" s="2">
        <f t="shared" si="58"/>
        <v>0</v>
      </c>
      <c r="CW67" s="2">
        <f t="shared" si="58"/>
        <v>0</v>
      </c>
      <c r="CX67" s="2">
        <f t="shared" si="58"/>
        <v>0</v>
      </c>
      <c r="CY67" s="2">
        <f t="shared" si="58"/>
        <v>0</v>
      </c>
      <c r="CZ67" s="2">
        <f t="shared" si="58"/>
        <v>0</v>
      </c>
      <c r="DA67" s="2">
        <f t="shared" si="58"/>
        <v>0</v>
      </c>
      <c r="DB67" s="2">
        <f t="shared" si="58"/>
        <v>0</v>
      </c>
      <c r="DC67" s="2">
        <f t="shared" si="58"/>
        <v>0</v>
      </c>
      <c r="DD67" s="2">
        <f t="shared" si="58"/>
        <v>0</v>
      </c>
      <c r="DE67" s="2">
        <f t="shared" si="58"/>
        <v>0</v>
      </c>
      <c r="DF67" s="2">
        <f t="shared" si="58"/>
        <v>0</v>
      </c>
      <c r="DG67" s="3">
        <f t="shared" ref="DG67:EL67" si="59">DG77</f>
        <v>0</v>
      </c>
      <c r="DH67" s="3">
        <f t="shared" si="59"/>
        <v>0</v>
      </c>
      <c r="DI67" s="3">
        <f t="shared" si="59"/>
        <v>0</v>
      </c>
      <c r="DJ67" s="3">
        <f t="shared" si="59"/>
        <v>0</v>
      </c>
      <c r="DK67" s="3">
        <f t="shared" si="59"/>
        <v>0</v>
      </c>
      <c r="DL67" s="3">
        <f t="shared" si="59"/>
        <v>0</v>
      </c>
      <c r="DM67" s="3">
        <f t="shared" si="59"/>
        <v>0</v>
      </c>
      <c r="DN67" s="3">
        <f t="shared" si="59"/>
        <v>0</v>
      </c>
      <c r="DO67" s="3">
        <f t="shared" si="59"/>
        <v>0</v>
      </c>
      <c r="DP67" s="3">
        <f t="shared" si="59"/>
        <v>0</v>
      </c>
      <c r="DQ67" s="3">
        <f t="shared" si="59"/>
        <v>0</v>
      </c>
      <c r="DR67" s="3">
        <f t="shared" si="59"/>
        <v>0</v>
      </c>
      <c r="DS67" s="3">
        <f t="shared" si="59"/>
        <v>0</v>
      </c>
      <c r="DT67" s="3">
        <f t="shared" si="59"/>
        <v>0</v>
      </c>
      <c r="DU67" s="3">
        <f t="shared" si="59"/>
        <v>0</v>
      </c>
      <c r="DV67" s="3">
        <f t="shared" si="59"/>
        <v>0</v>
      </c>
      <c r="DW67" s="3">
        <f t="shared" si="59"/>
        <v>0</v>
      </c>
      <c r="DX67" s="3">
        <f t="shared" si="59"/>
        <v>0</v>
      </c>
      <c r="DY67" s="3">
        <f t="shared" si="59"/>
        <v>0</v>
      </c>
      <c r="DZ67" s="3">
        <f t="shared" si="59"/>
        <v>0</v>
      </c>
      <c r="EA67" s="3">
        <f t="shared" si="59"/>
        <v>0</v>
      </c>
      <c r="EB67" s="3">
        <f t="shared" si="59"/>
        <v>0</v>
      </c>
      <c r="EC67" s="3">
        <f t="shared" si="59"/>
        <v>0</v>
      </c>
      <c r="ED67" s="3">
        <f t="shared" si="59"/>
        <v>0</v>
      </c>
      <c r="EE67" s="3">
        <f t="shared" si="59"/>
        <v>0</v>
      </c>
      <c r="EF67" s="3">
        <f t="shared" si="59"/>
        <v>0</v>
      </c>
      <c r="EG67" s="3">
        <f t="shared" si="59"/>
        <v>0</v>
      </c>
      <c r="EH67" s="3">
        <f t="shared" si="59"/>
        <v>0</v>
      </c>
      <c r="EI67" s="3">
        <f t="shared" si="59"/>
        <v>0</v>
      </c>
      <c r="EJ67" s="3">
        <f t="shared" si="59"/>
        <v>0</v>
      </c>
      <c r="EK67" s="3">
        <f t="shared" si="59"/>
        <v>0</v>
      </c>
      <c r="EL67" s="3">
        <f t="shared" si="59"/>
        <v>0</v>
      </c>
      <c r="EM67" s="3">
        <f t="shared" ref="EM67:FR67" si="60">EM77</f>
        <v>0</v>
      </c>
      <c r="EN67" s="3">
        <f t="shared" si="60"/>
        <v>0</v>
      </c>
      <c r="EO67" s="3">
        <f t="shared" si="60"/>
        <v>0</v>
      </c>
      <c r="EP67" s="3">
        <f t="shared" si="60"/>
        <v>0</v>
      </c>
      <c r="EQ67" s="3">
        <f t="shared" si="60"/>
        <v>0</v>
      </c>
      <c r="ER67" s="3">
        <f t="shared" si="60"/>
        <v>0</v>
      </c>
      <c r="ES67" s="3">
        <f t="shared" si="60"/>
        <v>0</v>
      </c>
      <c r="ET67" s="3">
        <f t="shared" si="60"/>
        <v>0</v>
      </c>
      <c r="EU67" s="3">
        <f t="shared" si="60"/>
        <v>0</v>
      </c>
      <c r="EV67" s="3">
        <f t="shared" si="60"/>
        <v>0</v>
      </c>
      <c r="EW67" s="3">
        <f t="shared" si="60"/>
        <v>0</v>
      </c>
      <c r="EX67" s="3">
        <f t="shared" si="60"/>
        <v>0</v>
      </c>
      <c r="EY67" s="3">
        <f t="shared" si="60"/>
        <v>0</v>
      </c>
      <c r="EZ67" s="3">
        <f t="shared" si="60"/>
        <v>0</v>
      </c>
      <c r="FA67" s="3">
        <f t="shared" si="60"/>
        <v>0</v>
      </c>
      <c r="FB67" s="3">
        <f t="shared" si="60"/>
        <v>0</v>
      </c>
      <c r="FC67" s="3">
        <f t="shared" si="60"/>
        <v>0</v>
      </c>
      <c r="FD67" s="3">
        <f t="shared" si="60"/>
        <v>0</v>
      </c>
      <c r="FE67" s="3">
        <f t="shared" si="60"/>
        <v>0</v>
      </c>
      <c r="FF67" s="3">
        <f t="shared" si="60"/>
        <v>0</v>
      </c>
      <c r="FG67" s="3">
        <f t="shared" si="60"/>
        <v>0</v>
      </c>
      <c r="FH67" s="3">
        <f t="shared" si="60"/>
        <v>0</v>
      </c>
      <c r="FI67" s="3">
        <f t="shared" si="60"/>
        <v>0</v>
      </c>
      <c r="FJ67" s="3">
        <f t="shared" si="60"/>
        <v>0</v>
      </c>
      <c r="FK67" s="3">
        <f t="shared" si="60"/>
        <v>0</v>
      </c>
      <c r="FL67" s="3">
        <f t="shared" si="60"/>
        <v>0</v>
      </c>
      <c r="FM67" s="3">
        <f t="shared" si="60"/>
        <v>0</v>
      </c>
      <c r="FN67" s="3">
        <f t="shared" si="60"/>
        <v>0</v>
      </c>
      <c r="FO67" s="3">
        <f t="shared" si="60"/>
        <v>0</v>
      </c>
      <c r="FP67" s="3">
        <f t="shared" si="60"/>
        <v>0</v>
      </c>
      <c r="FQ67" s="3">
        <f t="shared" si="60"/>
        <v>0</v>
      </c>
      <c r="FR67" s="3">
        <f t="shared" si="60"/>
        <v>0</v>
      </c>
      <c r="FS67" s="3">
        <f t="shared" ref="FS67:GX67" si="61">FS77</f>
        <v>0</v>
      </c>
      <c r="FT67" s="3">
        <f t="shared" si="61"/>
        <v>0</v>
      </c>
      <c r="FU67" s="3">
        <f t="shared" si="61"/>
        <v>0</v>
      </c>
      <c r="FV67" s="3">
        <f t="shared" si="61"/>
        <v>0</v>
      </c>
      <c r="FW67" s="3">
        <f t="shared" si="61"/>
        <v>0</v>
      </c>
      <c r="FX67" s="3">
        <f t="shared" si="61"/>
        <v>0</v>
      </c>
      <c r="FY67" s="3">
        <f t="shared" si="61"/>
        <v>0</v>
      </c>
      <c r="FZ67" s="3">
        <f t="shared" si="61"/>
        <v>0</v>
      </c>
      <c r="GA67" s="3">
        <f t="shared" si="61"/>
        <v>0</v>
      </c>
      <c r="GB67" s="3">
        <f t="shared" si="61"/>
        <v>0</v>
      </c>
      <c r="GC67" s="3">
        <f t="shared" si="61"/>
        <v>0</v>
      </c>
      <c r="GD67" s="3">
        <f t="shared" si="61"/>
        <v>0</v>
      </c>
      <c r="GE67" s="3">
        <f t="shared" si="61"/>
        <v>0</v>
      </c>
      <c r="GF67" s="3">
        <f t="shared" si="61"/>
        <v>0</v>
      </c>
      <c r="GG67" s="3">
        <f t="shared" si="61"/>
        <v>0</v>
      </c>
      <c r="GH67" s="3">
        <f t="shared" si="61"/>
        <v>0</v>
      </c>
      <c r="GI67" s="3">
        <f t="shared" si="61"/>
        <v>0</v>
      </c>
      <c r="GJ67" s="3">
        <f t="shared" si="61"/>
        <v>0</v>
      </c>
      <c r="GK67" s="3">
        <f t="shared" si="61"/>
        <v>0</v>
      </c>
      <c r="GL67" s="3">
        <f t="shared" si="61"/>
        <v>0</v>
      </c>
      <c r="GM67" s="3">
        <f t="shared" si="61"/>
        <v>0</v>
      </c>
      <c r="GN67" s="3">
        <f t="shared" si="61"/>
        <v>0</v>
      </c>
      <c r="GO67" s="3">
        <f t="shared" si="61"/>
        <v>0</v>
      </c>
      <c r="GP67" s="3">
        <f t="shared" si="61"/>
        <v>0</v>
      </c>
      <c r="GQ67" s="3">
        <f t="shared" si="61"/>
        <v>0</v>
      </c>
      <c r="GR67" s="3">
        <f t="shared" si="61"/>
        <v>0</v>
      </c>
      <c r="GS67" s="3">
        <f t="shared" si="61"/>
        <v>0</v>
      </c>
      <c r="GT67" s="3">
        <f t="shared" si="61"/>
        <v>0</v>
      </c>
      <c r="GU67" s="3">
        <f t="shared" si="61"/>
        <v>0</v>
      </c>
      <c r="GV67" s="3">
        <f t="shared" si="61"/>
        <v>0</v>
      </c>
      <c r="GW67" s="3">
        <f t="shared" si="61"/>
        <v>0</v>
      </c>
      <c r="GX67" s="3">
        <f t="shared" si="61"/>
        <v>0</v>
      </c>
    </row>
    <row r="69" spans="1:245" x14ac:dyDescent="0.2">
      <c r="A69">
        <v>17</v>
      </c>
      <c r="B69">
        <v>1</v>
      </c>
      <c r="E69" t="s">
        <v>109</v>
      </c>
      <c r="F69" t="s">
        <v>110</v>
      </c>
      <c r="G69" t="s">
        <v>111</v>
      </c>
      <c r="H69" t="s">
        <v>26</v>
      </c>
      <c r="I69">
        <v>8</v>
      </c>
      <c r="J69">
        <v>0</v>
      </c>
      <c r="O69">
        <f t="shared" ref="O69:O75" si="62">ROUND(CP69,2)</f>
        <v>26826.7</v>
      </c>
      <c r="P69">
        <f t="shared" ref="P69:P75" si="63">ROUND((ROUND((AC69*AW69*I69),2)*BC69),2)</f>
        <v>0</v>
      </c>
      <c r="Q69">
        <f t="shared" ref="Q69:Q75" si="64">(ROUND((ROUND(((ET69)*AV69*I69),2)*BB69),2)+ROUND((ROUND(((AE69-(EU69))*AV69*I69),2)*BS69),2))</f>
        <v>0</v>
      </c>
      <c r="R69">
        <f t="shared" ref="R69:R75" si="65">ROUND((ROUND((AE69*AV69*I69),2)*BS69),2)</f>
        <v>0</v>
      </c>
      <c r="S69">
        <f t="shared" ref="S69:S75" si="66">ROUND((ROUND((AF69*AV69*I69),2)*BA69),2)</f>
        <v>26826.7</v>
      </c>
      <c r="T69">
        <f t="shared" ref="T69:T75" si="67">ROUND(CU69*I69,2)</f>
        <v>0</v>
      </c>
      <c r="U69">
        <f t="shared" ref="U69:U75" si="68">CV69*I69</f>
        <v>67.391999999999996</v>
      </c>
      <c r="V69">
        <f t="shared" ref="V69:V75" si="69">CW69*I69</f>
        <v>0</v>
      </c>
      <c r="W69">
        <f t="shared" ref="W69:W75" si="70">ROUND(CX69*I69,2)</f>
        <v>0</v>
      </c>
      <c r="X69">
        <f t="shared" ref="X69:Y75" si="71">ROUND(CY69,2)</f>
        <v>18242.16</v>
      </c>
      <c r="Y69">
        <f t="shared" si="71"/>
        <v>10998.95</v>
      </c>
      <c r="AA69">
        <v>23646166</v>
      </c>
      <c r="AB69">
        <f t="shared" ref="AB69:AB75" si="72">ROUND((AC69+AD69+AF69),6)</f>
        <v>135.10640000000001</v>
      </c>
      <c r="AC69">
        <f t="shared" ref="AC69:AC75" si="73">ROUND((ES69),6)</f>
        <v>0</v>
      </c>
      <c r="AD69">
        <f t="shared" ref="AD69:AD75" si="74">ROUND((((ET69)-(EU69))+AE69),6)</f>
        <v>0</v>
      </c>
      <c r="AE69">
        <f t="shared" ref="AE69:AE75" si="75">ROUND((EU69),6)</f>
        <v>0</v>
      </c>
      <c r="AF69">
        <f t="shared" ref="AF69:AF75" si="76">ROUND((((EV69*1.3)*0.8)),6)</f>
        <v>135.10640000000001</v>
      </c>
      <c r="AG69">
        <f t="shared" ref="AG69:AG75" si="77">ROUND((AP69),6)</f>
        <v>0</v>
      </c>
      <c r="AH69">
        <f t="shared" ref="AH69:AH75" si="78">(((EW69*1.3)*0.8))</f>
        <v>8.4239999999999995</v>
      </c>
      <c r="AI69">
        <f t="shared" ref="AI69:AI75" si="79">(EX69)</f>
        <v>0</v>
      </c>
      <c r="AJ69">
        <f t="shared" ref="AJ69:AJ75" si="80">(AS69)</f>
        <v>0</v>
      </c>
      <c r="AK69">
        <v>129.91</v>
      </c>
      <c r="AL69">
        <v>0</v>
      </c>
      <c r="AM69">
        <v>0</v>
      </c>
      <c r="AN69">
        <v>0</v>
      </c>
      <c r="AO69">
        <v>129.91</v>
      </c>
      <c r="AP69">
        <v>0</v>
      </c>
      <c r="AQ69">
        <v>8.1</v>
      </c>
      <c r="AR69">
        <v>0</v>
      </c>
      <c r="AS69">
        <v>0</v>
      </c>
      <c r="AT69">
        <v>68</v>
      </c>
      <c r="AU69">
        <v>41</v>
      </c>
      <c r="AV69">
        <v>1</v>
      </c>
      <c r="AW69">
        <v>1</v>
      </c>
      <c r="AZ69">
        <v>1</v>
      </c>
      <c r="BA69">
        <v>24.82</v>
      </c>
      <c r="BB69">
        <v>1</v>
      </c>
      <c r="BC69">
        <v>1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4</v>
      </c>
      <c r="BJ69" t="s">
        <v>112</v>
      </c>
      <c r="BM69">
        <v>381</v>
      </c>
      <c r="BN69">
        <v>0</v>
      </c>
      <c r="BO69" t="s">
        <v>3</v>
      </c>
      <c r="BP69">
        <v>0</v>
      </c>
      <c r="BQ69">
        <v>50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68</v>
      </c>
      <c r="CA69">
        <v>41</v>
      </c>
      <c r="CE69">
        <v>30</v>
      </c>
      <c r="CF69">
        <v>0</v>
      </c>
      <c r="CG69">
        <v>0</v>
      </c>
      <c r="CM69">
        <v>0</v>
      </c>
      <c r="CN69" t="s">
        <v>172</v>
      </c>
      <c r="CO69">
        <v>0</v>
      </c>
      <c r="CP69">
        <f t="shared" ref="CP69:CP75" si="81">(P69+Q69+S69)</f>
        <v>26826.7</v>
      </c>
      <c r="CQ69">
        <f t="shared" ref="CQ69:CQ75" si="82">ROUND((ROUND((AC69*AW69*1),2)*BC69),2)</f>
        <v>0</v>
      </c>
      <c r="CR69">
        <f t="shared" ref="CR69:CR75" si="83">(ROUND((ROUND(((ET69)*AV69*1),2)*BB69),2)+ROUND((ROUND(((AE69-(EU69))*AV69*1),2)*BS69),2))</f>
        <v>0</v>
      </c>
      <c r="CS69">
        <f t="shared" ref="CS69:CS75" si="84">ROUND((ROUND((AE69*AV69*1),2)*BS69),2)</f>
        <v>0</v>
      </c>
      <c r="CT69">
        <f t="shared" ref="CT69:CT75" si="85">ROUND((ROUND((AF69*AV69*1),2)*BA69),2)</f>
        <v>3353.43</v>
      </c>
      <c r="CU69">
        <f t="shared" ref="CU69:CU75" si="86">AG69</f>
        <v>0</v>
      </c>
      <c r="CV69">
        <f t="shared" ref="CV69:CV75" si="87">(AH69*AV69)</f>
        <v>8.4239999999999995</v>
      </c>
      <c r="CW69">
        <f t="shared" ref="CW69:CX75" si="88">AI69</f>
        <v>0</v>
      </c>
      <c r="CX69">
        <f t="shared" si="88"/>
        <v>0</v>
      </c>
      <c r="CY69">
        <f t="shared" ref="CY69:CY75" si="89">S69*(BZ69/100)</f>
        <v>18242.156000000003</v>
      </c>
      <c r="CZ69">
        <f t="shared" ref="CZ69:CZ75" si="90">S69*(CA69/100)</f>
        <v>10998.947</v>
      </c>
      <c r="DC69" t="s">
        <v>3</v>
      </c>
      <c r="DD69" t="s">
        <v>3</v>
      </c>
      <c r="DE69" t="s">
        <v>3</v>
      </c>
      <c r="DF69" t="s">
        <v>3</v>
      </c>
      <c r="DG69" t="s">
        <v>113</v>
      </c>
      <c r="DH69" t="s">
        <v>3</v>
      </c>
      <c r="DI69" t="s">
        <v>113</v>
      </c>
      <c r="DJ69" t="s">
        <v>3</v>
      </c>
      <c r="DK69" t="s">
        <v>3</v>
      </c>
      <c r="DL69" t="s">
        <v>3</v>
      </c>
      <c r="DM69" t="s">
        <v>3</v>
      </c>
      <c r="DN69">
        <v>75</v>
      </c>
      <c r="DO69">
        <v>70</v>
      </c>
      <c r="DP69">
        <v>1</v>
      </c>
      <c r="DQ69">
        <v>1</v>
      </c>
      <c r="DU69">
        <v>1010</v>
      </c>
      <c r="DV69" t="s">
        <v>26</v>
      </c>
      <c r="DW69" t="s">
        <v>26</v>
      </c>
      <c r="DX69">
        <v>1</v>
      </c>
      <c r="DZ69" t="s">
        <v>3</v>
      </c>
      <c r="EA69" t="s">
        <v>3</v>
      </c>
      <c r="EB69" t="s">
        <v>3</v>
      </c>
      <c r="EC69" t="s">
        <v>3</v>
      </c>
      <c r="EE69">
        <v>22827222</v>
      </c>
      <c r="EF69">
        <v>50</v>
      </c>
      <c r="EG69" t="s">
        <v>108</v>
      </c>
      <c r="EH69">
        <v>0</v>
      </c>
      <c r="EI69" t="s">
        <v>3</v>
      </c>
      <c r="EJ69">
        <v>4</v>
      </c>
      <c r="EK69">
        <v>381</v>
      </c>
      <c r="EL69" t="s">
        <v>114</v>
      </c>
      <c r="EM69" t="s">
        <v>115</v>
      </c>
      <c r="EO69" t="s">
        <v>116</v>
      </c>
      <c r="EQ69">
        <v>0</v>
      </c>
      <c r="ER69">
        <v>129.91</v>
      </c>
      <c r="ES69">
        <v>0</v>
      </c>
      <c r="ET69">
        <v>0</v>
      </c>
      <c r="EU69">
        <v>0</v>
      </c>
      <c r="EV69">
        <v>129.91</v>
      </c>
      <c r="EW69">
        <v>8.1</v>
      </c>
      <c r="EX69">
        <v>0</v>
      </c>
      <c r="EY69">
        <v>0</v>
      </c>
      <c r="FQ69">
        <v>0</v>
      </c>
      <c r="FR69">
        <f t="shared" ref="FR69:FR75" si="91">ROUND(IF(AND(BH69=3,BI69=3),P69,0),2)</f>
        <v>0</v>
      </c>
      <c r="FS69">
        <v>0</v>
      </c>
      <c r="FX69">
        <v>75</v>
      </c>
      <c r="FY69">
        <v>70</v>
      </c>
      <c r="GA69" t="s">
        <v>3</v>
      </c>
      <c r="GD69">
        <v>0</v>
      </c>
      <c r="GF69">
        <v>-2044298939</v>
      </c>
      <c r="GG69">
        <v>2</v>
      </c>
      <c r="GH69">
        <v>1</v>
      </c>
      <c r="GI69">
        <v>2</v>
      </c>
      <c r="GJ69">
        <v>0</v>
      </c>
      <c r="GK69">
        <f>ROUND(R69*(R12)/100,2)</f>
        <v>0</v>
      </c>
      <c r="GL69">
        <f t="shared" ref="GL69:GL75" si="92">ROUND(IF(AND(BH69=3,BI69=3,FS69&lt;&gt;0),P69,0),2)</f>
        <v>0</v>
      </c>
      <c r="GM69">
        <f t="shared" ref="GM69:GM75" si="93">ROUND(O69+X69+Y69+GK69,2)+GX69</f>
        <v>56067.81</v>
      </c>
      <c r="GN69">
        <f t="shared" ref="GN69:GN75" si="94">IF(OR(BI69=0,BI69=1),ROUND(O69+X69+Y69+GK69,2),0)</f>
        <v>0</v>
      </c>
      <c r="GO69">
        <f t="shared" ref="GO69:GO75" si="95">IF(BI69=2,ROUND(O69+X69+Y69+GK69,2),0)</f>
        <v>0</v>
      </c>
      <c r="GP69">
        <f t="shared" ref="GP69:GP75" si="96">IF(BI69=4,ROUND(O69+X69+Y69+GK69,2)+GX69,0)</f>
        <v>56067.81</v>
      </c>
      <c r="GR69">
        <v>0</v>
      </c>
      <c r="GS69">
        <v>0</v>
      </c>
      <c r="GT69">
        <v>0</v>
      </c>
      <c r="GU69" t="s">
        <v>3</v>
      </c>
      <c r="GV69">
        <f t="shared" ref="GV69:GV75" si="97">ROUND((GT69),6)</f>
        <v>0</v>
      </c>
      <c r="GW69">
        <v>1</v>
      </c>
      <c r="GX69">
        <f t="shared" ref="GX69:GX75" si="98">ROUND(HC69*I69,2)</f>
        <v>0</v>
      </c>
      <c r="HA69">
        <v>0</v>
      </c>
      <c r="HB69">
        <v>0</v>
      </c>
      <c r="HC69">
        <f t="shared" ref="HC69:HC75" si="99">GV69*GW69</f>
        <v>0</v>
      </c>
      <c r="HE69" t="s">
        <v>3</v>
      </c>
      <c r="HF69" t="s">
        <v>3</v>
      </c>
      <c r="IK69">
        <v>0</v>
      </c>
    </row>
    <row r="70" spans="1:245" x14ac:dyDescent="0.2">
      <c r="A70">
        <v>17</v>
      </c>
      <c r="B70">
        <v>1</v>
      </c>
      <c r="E70" t="s">
        <v>117</v>
      </c>
      <c r="F70" t="s">
        <v>118</v>
      </c>
      <c r="G70" t="s">
        <v>119</v>
      </c>
      <c r="H70" t="s">
        <v>120</v>
      </c>
      <c r="I70">
        <v>15</v>
      </c>
      <c r="J70">
        <v>0</v>
      </c>
      <c r="O70">
        <f t="shared" si="62"/>
        <v>611.80999999999995</v>
      </c>
      <c r="P70">
        <f t="shared" si="63"/>
        <v>0</v>
      </c>
      <c r="Q70">
        <f t="shared" si="64"/>
        <v>0</v>
      </c>
      <c r="R70">
        <f t="shared" si="65"/>
        <v>0</v>
      </c>
      <c r="S70">
        <f t="shared" si="66"/>
        <v>611.80999999999995</v>
      </c>
      <c r="T70">
        <f t="shared" si="67"/>
        <v>0</v>
      </c>
      <c r="U70">
        <f t="shared" si="68"/>
        <v>1.56</v>
      </c>
      <c r="V70">
        <f t="shared" si="69"/>
        <v>0</v>
      </c>
      <c r="W70">
        <f t="shared" si="70"/>
        <v>0</v>
      </c>
      <c r="X70">
        <f t="shared" si="71"/>
        <v>416.03</v>
      </c>
      <c r="Y70">
        <f t="shared" si="71"/>
        <v>250.84</v>
      </c>
      <c r="AA70">
        <v>23646166</v>
      </c>
      <c r="AB70">
        <f t="shared" si="72"/>
        <v>1.6432</v>
      </c>
      <c r="AC70">
        <f t="shared" si="73"/>
        <v>0</v>
      </c>
      <c r="AD70">
        <f t="shared" si="74"/>
        <v>0</v>
      </c>
      <c r="AE70">
        <f t="shared" si="75"/>
        <v>0</v>
      </c>
      <c r="AF70">
        <f t="shared" si="76"/>
        <v>1.6432</v>
      </c>
      <c r="AG70">
        <f t="shared" si="77"/>
        <v>0</v>
      </c>
      <c r="AH70">
        <f t="shared" si="78"/>
        <v>0.10400000000000001</v>
      </c>
      <c r="AI70">
        <f t="shared" si="79"/>
        <v>0</v>
      </c>
      <c r="AJ70">
        <f t="shared" si="80"/>
        <v>0</v>
      </c>
      <c r="AK70">
        <v>1.58</v>
      </c>
      <c r="AL70">
        <v>0</v>
      </c>
      <c r="AM70">
        <v>0</v>
      </c>
      <c r="AN70">
        <v>0</v>
      </c>
      <c r="AO70">
        <v>1.58</v>
      </c>
      <c r="AP70">
        <v>0</v>
      </c>
      <c r="AQ70">
        <v>0.1</v>
      </c>
      <c r="AR70">
        <v>0</v>
      </c>
      <c r="AS70">
        <v>0</v>
      </c>
      <c r="AT70">
        <v>68</v>
      </c>
      <c r="AU70">
        <v>41</v>
      </c>
      <c r="AV70">
        <v>1</v>
      </c>
      <c r="AW70">
        <v>1</v>
      </c>
      <c r="AZ70">
        <v>1</v>
      </c>
      <c r="BA70">
        <v>24.82</v>
      </c>
      <c r="BB70">
        <v>1</v>
      </c>
      <c r="BC70">
        <v>1</v>
      </c>
      <c r="BD70" t="s">
        <v>3</v>
      </c>
      <c r="BE70" t="s">
        <v>3</v>
      </c>
      <c r="BF70" t="s">
        <v>3</v>
      </c>
      <c r="BG70" t="s">
        <v>3</v>
      </c>
      <c r="BH70">
        <v>0</v>
      </c>
      <c r="BI70">
        <v>4</v>
      </c>
      <c r="BJ70" t="s">
        <v>121</v>
      </c>
      <c r="BM70">
        <v>381</v>
      </c>
      <c r="BN70">
        <v>0</v>
      </c>
      <c r="BO70" t="s">
        <v>3</v>
      </c>
      <c r="BP70">
        <v>0</v>
      </c>
      <c r="BQ70">
        <v>50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 t="s">
        <v>3</v>
      </c>
      <c r="BZ70">
        <v>68</v>
      </c>
      <c r="CA70">
        <v>41</v>
      </c>
      <c r="CE70">
        <v>30</v>
      </c>
      <c r="CF70">
        <v>0</v>
      </c>
      <c r="CG70">
        <v>0</v>
      </c>
      <c r="CM70">
        <v>0</v>
      </c>
      <c r="CN70" t="s">
        <v>172</v>
      </c>
      <c r="CO70">
        <v>0</v>
      </c>
      <c r="CP70">
        <f t="shared" si="81"/>
        <v>611.80999999999995</v>
      </c>
      <c r="CQ70">
        <f t="shared" si="82"/>
        <v>0</v>
      </c>
      <c r="CR70">
        <f t="shared" si="83"/>
        <v>0</v>
      </c>
      <c r="CS70">
        <f t="shared" si="84"/>
        <v>0</v>
      </c>
      <c r="CT70">
        <f t="shared" si="85"/>
        <v>40.700000000000003</v>
      </c>
      <c r="CU70">
        <f t="shared" si="86"/>
        <v>0</v>
      </c>
      <c r="CV70">
        <f t="shared" si="87"/>
        <v>0.10400000000000001</v>
      </c>
      <c r="CW70">
        <f t="shared" si="88"/>
        <v>0</v>
      </c>
      <c r="CX70">
        <f t="shared" si="88"/>
        <v>0</v>
      </c>
      <c r="CY70">
        <f t="shared" si="89"/>
        <v>416.0308</v>
      </c>
      <c r="CZ70">
        <f t="shared" si="90"/>
        <v>250.84209999999996</v>
      </c>
      <c r="DC70" t="s">
        <v>3</v>
      </c>
      <c r="DD70" t="s">
        <v>3</v>
      </c>
      <c r="DE70" t="s">
        <v>3</v>
      </c>
      <c r="DF70" t="s">
        <v>3</v>
      </c>
      <c r="DG70" t="s">
        <v>113</v>
      </c>
      <c r="DH70" t="s">
        <v>3</v>
      </c>
      <c r="DI70" t="s">
        <v>113</v>
      </c>
      <c r="DJ70" t="s">
        <v>3</v>
      </c>
      <c r="DK70" t="s">
        <v>3</v>
      </c>
      <c r="DL70" t="s">
        <v>3</v>
      </c>
      <c r="DM70" t="s">
        <v>3</v>
      </c>
      <c r="DN70">
        <v>75</v>
      </c>
      <c r="DO70">
        <v>70</v>
      </c>
      <c r="DP70">
        <v>1</v>
      </c>
      <c r="DQ70">
        <v>1</v>
      </c>
      <c r="DU70">
        <v>1013</v>
      </c>
      <c r="DV70" t="s">
        <v>120</v>
      </c>
      <c r="DW70" t="s">
        <v>120</v>
      </c>
      <c r="DX70">
        <v>1</v>
      </c>
      <c r="DZ70" t="s">
        <v>3</v>
      </c>
      <c r="EA70" t="s">
        <v>3</v>
      </c>
      <c r="EB70" t="s">
        <v>3</v>
      </c>
      <c r="EC70" t="s">
        <v>3</v>
      </c>
      <c r="EE70">
        <v>22827222</v>
      </c>
      <c r="EF70">
        <v>50</v>
      </c>
      <c r="EG70" t="s">
        <v>108</v>
      </c>
      <c r="EH70">
        <v>0</v>
      </c>
      <c r="EI70" t="s">
        <v>3</v>
      </c>
      <c r="EJ70">
        <v>4</v>
      </c>
      <c r="EK70">
        <v>381</v>
      </c>
      <c r="EL70" t="s">
        <v>114</v>
      </c>
      <c r="EM70" t="s">
        <v>115</v>
      </c>
      <c r="EO70" t="s">
        <v>116</v>
      </c>
      <c r="EQ70">
        <v>0</v>
      </c>
      <c r="ER70">
        <v>1.58</v>
      </c>
      <c r="ES70">
        <v>0</v>
      </c>
      <c r="ET70">
        <v>0</v>
      </c>
      <c r="EU70">
        <v>0</v>
      </c>
      <c r="EV70">
        <v>1.58</v>
      </c>
      <c r="EW70">
        <v>0.1</v>
      </c>
      <c r="EX70">
        <v>0</v>
      </c>
      <c r="EY70">
        <v>0</v>
      </c>
      <c r="FQ70">
        <v>0</v>
      </c>
      <c r="FR70">
        <f t="shared" si="91"/>
        <v>0</v>
      </c>
      <c r="FS70">
        <v>0</v>
      </c>
      <c r="FX70">
        <v>75</v>
      </c>
      <c r="FY70">
        <v>70</v>
      </c>
      <c r="GA70" t="s">
        <v>3</v>
      </c>
      <c r="GD70">
        <v>0</v>
      </c>
      <c r="GF70">
        <v>730104558</v>
      </c>
      <c r="GG70">
        <v>2</v>
      </c>
      <c r="GH70">
        <v>1</v>
      </c>
      <c r="GI70">
        <v>2</v>
      </c>
      <c r="GJ70">
        <v>0</v>
      </c>
      <c r="GK70">
        <f>ROUND(R70*(R12)/100,2)</f>
        <v>0</v>
      </c>
      <c r="GL70">
        <f t="shared" si="92"/>
        <v>0</v>
      </c>
      <c r="GM70">
        <f t="shared" si="93"/>
        <v>1278.68</v>
      </c>
      <c r="GN70">
        <f t="shared" si="94"/>
        <v>0</v>
      </c>
      <c r="GO70">
        <f t="shared" si="95"/>
        <v>0</v>
      </c>
      <c r="GP70">
        <f t="shared" si="96"/>
        <v>1278.68</v>
      </c>
      <c r="GR70">
        <v>0</v>
      </c>
      <c r="GS70">
        <v>0</v>
      </c>
      <c r="GT70">
        <v>0</v>
      </c>
      <c r="GU70" t="s">
        <v>3</v>
      </c>
      <c r="GV70">
        <f t="shared" si="97"/>
        <v>0</v>
      </c>
      <c r="GW70">
        <v>1</v>
      </c>
      <c r="GX70">
        <f t="shared" si="98"/>
        <v>0</v>
      </c>
      <c r="HA70">
        <v>0</v>
      </c>
      <c r="HB70">
        <v>0</v>
      </c>
      <c r="HC70">
        <f t="shared" si="99"/>
        <v>0</v>
      </c>
      <c r="HE70" t="s">
        <v>3</v>
      </c>
      <c r="HF70" t="s">
        <v>3</v>
      </c>
      <c r="IK70">
        <v>0</v>
      </c>
    </row>
    <row r="71" spans="1:245" x14ac:dyDescent="0.2">
      <c r="A71">
        <v>17</v>
      </c>
      <c r="B71">
        <v>1</v>
      </c>
      <c r="E71" t="s">
        <v>122</v>
      </c>
      <c r="F71" t="s">
        <v>123</v>
      </c>
      <c r="G71" t="s">
        <v>124</v>
      </c>
      <c r="H71" t="s">
        <v>125</v>
      </c>
      <c r="I71">
        <v>15</v>
      </c>
      <c r="J71">
        <v>0</v>
      </c>
      <c r="O71">
        <f t="shared" si="62"/>
        <v>16641.560000000001</v>
      </c>
      <c r="P71">
        <f t="shared" si="63"/>
        <v>0</v>
      </c>
      <c r="Q71">
        <f t="shared" si="64"/>
        <v>0</v>
      </c>
      <c r="R71">
        <f t="shared" si="65"/>
        <v>0</v>
      </c>
      <c r="S71">
        <f t="shared" si="66"/>
        <v>16641.560000000001</v>
      </c>
      <c r="T71">
        <f t="shared" si="67"/>
        <v>0</v>
      </c>
      <c r="U71">
        <f t="shared" si="68"/>
        <v>42.120000000000005</v>
      </c>
      <c r="V71">
        <f t="shared" si="69"/>
        <v>0</v>
      </c>
      <c r="W71">
        <f t="shared" si="70"/>
        <v>0</v>
      </c>
      <c r="X71">
        <f t="shared" si="71"/>
        <v>11316.26</v>
      </c>
      <c r="Y71">
        <f t="shared" si="71"/>
        <v>6823.04</v>
      </c>
      <c r="AA71">
        <v>23646166</v>
      </c>
      <c r="AB71">
        <f t="shared" si="72"/>
        <v>44.699199999999998</v>
      </c>
      <c r="AC71">
        <f t="shared" si="73"/>
        <v>0</v>
      </c>
      <c r="AD71">
        <f t="shared" si="74"/>
        <v>0</v>
      </c>
      <c r="AE71">
        <f t="shared" si="75"/>
        <v>0</v>
      </c>
      <c r="AF71">
        <f t="shared" si="76"/>
        <v>44.699199999999998</v>
      </c>
      <c r="AG71">
        <f t="shared" si="77"/>
        <v>0</v>
      </c>
      <c r="AH71">
        <f t="shared" si="78"/>
        <v>2.8080000000000003</v>
      </c>
      <c r="AI71">
        <f t="shared" si="79"/>
        <v>0</v>
      </c>
      <c r="AJ71">
        <f t="shared" si="80"/>
        <v>0</v>
      </c>
      <c r="AK71">
        <v>42.98</v>
      </c>
      <c r="AL71">
        <v>0</v>
      </c>
      <c r="AM71">
        <v>0</v>
      </c>
      <c r="AN71">
        <v>0</v>
      </c>
      <c r="AO71">
        <v>42.98</v>
      </c>
      <c r="AP71">
        <v>0</v>
      </c>
      <c r="AQ71">
        <v>2.7</v>
      </c>
      <c r="AR71">
        <v>0</v>
      </c>
      <c r="AS71">
        <v>0</v>
      </c>
      <c r="AT71">
        <v>68</v>
      </c>
      <c r="AU71">
        <v>41</v>
      </c>
      <c r="AV71">
        <v>1</v>
      </c>
      <c r="AW71">
        <v>1</v>
      </c>
      <c r="AZ71">
        <v>1</v>
      </c>
      <c r="BA71">
        <v>24.82</v>
      </c>
      <c r="BB71">
        <v>1</v>
      </c>
      <c r="BC71">
        <v>1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4</v>
      </c>
      <c r="BJ71" t="s">
        <v>126</v>
      </c>
      <c r="BM71">
        <v>381</v>
      </c>
      <c r="BN71">
        <v>0</v>
      </c>
      <c r="BO71" t="s">
        <v>3</v>
      </c>
      <c r="BP71">
        <v>0</v>
      </c>
      <c r="BQ71">
        <v>50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68</v>
      </c>
      <c r="CA71">
        <v>41</v>
      </c>
      <c r="CE71">
        <v>30</v>
      </c>
      <c r="CF71">
        <v>0</v>
      </c>
      <c r="CG71">
        <v>0</v>
      </c>
      <c r="CM71">
        <v>0</v>
      </c>
      <c r="CN71" t="s">
        <v>172</v>
      </c>
      <c r="CO71">
        <v>0</v>
      </c>
      <c r="CP71">
        <f t="shared" si="81"/>
        <v>16641.560000000001</v>
      </c>
      <c r="CQ71">
        <f t="shared" si="82"/>
        <v>0</v>
      </c>
      <c r="CR71">
        <f t="shared" si="83"/>
        <v>0</v>
      </c>
      <c r="CS71">
        <f t="shared" si="84"/>
        <v>0</v>
      </c>
      <c r="CT71">
        <f t="shared" si="85"/>
        <v>1109.45</v>
      </c>
      <c r="CU71">
        <f t="shared" si="86"/>
        <v>0</v>
      </c>
      <c r="CV71">
        <f t="shared" si="87"/>
        <v>2.8080000000000003</v>
      </c>
      <c r="CW71">
        <f t="shared" si="88"/>
        <v>0</v>
      </c>
      <c r="CX71">
        <f t="shared" si="88"/>
        <v>0</v>
      </c>
      <c r="CY71">
        <f t="shared" si="89"/>
        <v>11316.260800000002</v>
      </c>
      <c r="CZ71">
        <f t="shared" si="90"/>
        <v>6823.0396000000001</v>
      </c>
      <c r="DC71" t="s">
        <v>3</v>
      </c>
      <c r="DD71" t="s">
        <v>3</v>
      </c>
      <c r="DE71" t="s">
        <v>3</v>
      </c>
      <c r="DF71" t="s">
        <v>3</v>
      </c>
      <c r="DG71" t="s">
        <v>113</v>
      </c>
      <c r="DH71" t="s">
        <v>3</v>
      </c>
      <c r="DI71" t="s">
        <v>113</v>
      </c>
      <c r="DJ71" t="s">
        <v>3</v>
      </c>
      <c r="DK71" t="s">
        <v>3</v>
      </c>
      <c r="DL71" t="s">
        <v>3</v>
      </c>
      <c r="DM71" t="s">
        <v>3</v>
      </c>
      <c r="DN71">
        <v>75</v>
      </c>
      <c r="DO71">
        <v>70</v>
      </c>
      <c r="DP71">
        <v>1</v>
      </c>
      <c r="DQ71">
        <v>1</v>
      </c>
      <c r="DU71">
        <v>1013</v>
      </c>
      <c r="DV71" t="s">
        <v>125</v>
      </c>
      <c r="DW71" t="s">
        <v>125</v>
      </c>
      <c r="DX71">
        <v>1</v>
      </c>
      <c r="DZ71" t="s">
        <v>3</v>
      </c>
      <c r="EA71" t="s">
        <v>3</v>
      </c>
      <c r="EB71" t="s">
        <v>3</v>
      </c>
      <c r="EC71" t="s">
        <v>3</v>
      </c>
      <c r="EE71">
        <v>22827222</v>
      </c>
      <c r="EF71">
        <v>50</v>
      </c>
      <c r="EG71" t="s">
        <v>108</v>
      </c>
      <c r="EH71">
        <v>0</v>
      </c>
      <c r="EI71" t="s">
        <v>3</v>
      </c>
      <c r="EJ71">
        <v>4</v>
      </c>
      <c r="EK71">
        <v>381</v>
      </c>
      <c r="EL71" t="s">
        <v>114</v>
      </c>
      <c r="EM71" t="s">
        <v>115</v>
      </c>
      <c r="EO71" t="s">
        <v>116</v>
      </c>
      <c r="EQ71">
        <v>0</v>
      </c>
      <c r="ER71">
        <v>42.98</v>
      </c>
      <c r="ES71">
        <v>0</v>
      </c>
      <c r="ET71">
        <v>0</v>
      </c>
      <c r="EU71">
        <v>0</v>
      </c>
      <c r="EV71">
        <v>42.98</v>
      </c>
      <c r="EW71">
        <v>2.7</v>
      </c>
      <c r="EX71">
        <v>0</v>
      </c>
      <c r="EY71">
        <v>0</v>
      </c>
      <c r="FQ71">
        <v>0</v>
      </c>
      <c r="FR71">
        <f t="shared" si="91"/>
        <v>0</v>
      </c>
      <c r="FS71">
        <v>0</v>
      </c>
      <c r="FX71">
        <v>75</v>
      </c>
      <c r="FY71">
        <v>70</v>
      </c>
      <c r="GA71" t="s">
        <v>3</v>
      </c>
      <c r="GD71">
        <v>0</v>
      </c>
      <c r="GF71">
        <v>1899371658</v>
      </c>
      <c r="GG71">
        <v>2</v>
      </c>
      <c r="GH71">
        <v>1</v>
      </c>
      <c r="GI71">
        <v>2</v>
      </c>
      <c r="GJ71">
        <v>0</v>
      </c>
      <c r="GK71">
        <f>ROUND(R71*(R12)/100,2)</f>
        <v>0</v>
      </c>
      <c r="GL71">
        <f t="shared" si="92"/>
        <v>0</v>
      </c>
      <c r="GM71">
        <f t="shared" si="93"/>
        <v>34780.86</v>
      </c>
      <c r="GN71">
        <f t="shared" si="94"/>
        <v>0</v>
      </c>
      <c r="GO71">
        <f t="shared" si="95"/>
        <v>0</v>
      </c>
      <c r="GP71">
        <f t="shared" si="96"/>
        <v>34780.86</v>
      </c>
      <c r="GR71">
        <v>0</v>
      </c>
      <c r="GS71">
        <v>0</v>
      </c>
      <c r="GT71">
        <v>0</v>
      </c>
      <c r="GU71" t="s">
        <v>3</v>
      </c>
      <c r="GV71">
        <f t="shared" si="97"/>
        <v>0</v>
      </c>
      <c r="GW71">
        <v>1</v>
      </c>
      <c r="GX71">
        <f t="shared" si="98"/>
        <v>0</v>
      </c>
      <c r="HA71">
        <v>0</v>
      </c>
      <c r="HB71">
        <v>0</v>
      </c>
      <c r="HC71">
        <f t="shared" si="99"/>
        <v>0</v>
      </c>
      <c r="HE71" t="s">
        <v>3</v>
      </c>
      <c r="HF71" t="s">
        <v>3</v>
      </c>
      <c r="IK71">
        <v>0</v>
      </c>
    </row>
    <row r="72" spans="1:245" x14ac:dyDescent="0.2">
      <c r="A72">
        <v>17</v>
      </c>
      <c r="B72">
        <v>1</v>
      </c>
      <c r="E72" t="s">
        <v>127</v>
      </c>
      <c r="F72" t="s">
        <v>128</v>
      </c>
      <c r="G72" t="s">
        <v>129</v>
      </c>
      <c r="H72" t="s">
        <v>130</v>
      </c>
      <c r="I72">
        <v>55</v>
      </c>
      <c r="J72">
        <v>0</v>
      </c>
      <c r="O72">
        <f t="shared" si="62"/>
        <v>3364.6</v>
      </c>
      <c r="P72">
        <f t="shared" si="63"/>
        <v>0</v>
      </c>
      <c r="Q72">
        <f t="shared" si="64"/>
        <v>0</v>
      </c>
      <c r="R72">
        <f t="shared" si="65"/>
        <v>0</v>
      </c>
      <c r="S72">
        <f t="shared" si="66"/>
        <v>3364.6</v>
      </c>
      <c r="T72">
        <f t="shared" si="67"/>
        <v>0</v>
      </c>
      <c r="U72">
        <f t="shared" si="68"/>
        <v>8.5800000000000018</v>
      </c>
      <c r="V72">
        <f t="shared" si="69"/>
        <v>0</v>
      </c>
      <c r="W72">
        <f t="shared" si="70"/>
        <v>0</v>
      </c>
      <c r="X72">
        <f t="shared" si="71"/>
        <v>2287.9299999999998</v>
      </c>
      <c r="Y72">
        <f t="shared" si="71"/>
        <v>1379.49</v>
      </c>
      <c r="AA72">
        <v>23646166</v>
      </c>
      <c r="AB72">
        <f t="shared" si="72"/>
        <v>2.4647999999999999</v>
      </c>
      <c r="AC72">
        <f t="shared" si="73"/>
        <v>0</v>
      </c>
      <c r="AD72">
        <f t="shared" si="74"/>
        <v>0</v>
      </c>
      <c r="AE72">
        <f t="shared" si="75"/>
        <v>0</v>
      </c>
      <c r="AF72">
        <f t="shared" si="76"/>
        <v>2.4647999999999999</v>
      </c>
      <c r="AG72">
        <f t="shared" si="77"/>
        <v>0</v>
      </c>
      <c r="AH72">
        <f t="shared" si="78"/>
        <v>0.15600000000000003</v>
      </c>
      <c r="AI72">
        <f t="shared" si="79"/>
        <v>0</v>
      </c>
      <c r="AJ72">
        <f t="shared" si="80"/>
        <v>0</v>
      </c>
      <c r="AK72">
        <v>2.37</v>
      </c>
      <c r="AL72">
        <v>0</v>
      </c>
      <c r="AM72">
        <v>0</v>
      </c>
      <c r="AN72">
        <v>0</v>
      </c>
      <c r="AO72">
        <v>2.37</v>
      </c>
      <c r="AP72">
        <v>0</v>
      </c>
      <c r="AQ72">
        <v>0.15</v>
      </c>
      <c r="AR72">
        <v>0</v>
      </c>
      <c r="AS72">
        <v>0</v>
      </c>
      <c r="AT72">
        <v>68</v>
      </c>
      <c r="AU72">
        <v>41</v>
      </c>
      <c r="AV72">
        <v>1</v>
      </c>
      <c r="AW72">
        <v>1</v>
      </c>
      <c r="AZ72">
        <v>1</v>
      </c>
      <c r="BA72">
        <v>24.82</v>
      </c>
      <c r="BB72">
        <v>1</v>
      </c>
      <c r="BC72">
        <v>1</v>
      </c>
      <c r="BD72" t="s">
        <v>3</v>
      </c>
      <c r="BE72" t="s">
        <v>3</v>
      </c>
      <c r="BF72" t="s">
        <v>3</v>
      </c>
      <c r="BG72" t="s">
        <v>3</v>
      </c>
      <c r="BH72">
        <v>0</v>
      </c>
      <c r="BI72">
        <v>4</v>
      </c>
      <c r="BJ72" t="s">
        <v>131</v>
      </c>
      <c r="BM72">
        <v>381</v>
      </c>
      <c r="BN72">
        <v>0</v>
      </c>
      <c r="BO72" t="s">
        <v>3</v>
      </c>
      <c r="BP72">
        <v>0</v>
      </c>
      <c r="BQ72">
        <v>50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 t="s">
        <v>3</v>
      </c>
      <c r="BZ72">
        <v>68</v>
      </c>
      <c r="CA72">
        <v>41</v>
      </c>
      <c r="CE72">
        <v>30</v>
      </c>
      <c r="CF72">
        <v>0</v>
      </c>
      <c r="CG72">
        <v>0</v>
      </c>
      <c r="CM72">
        <v>0</v>
      </c>
      <c r="CN72" t="s">
        <v>172</v>
      </c>
      <c r="CO72">
        <v>0</v>
      </c>
      <c r="CP72">
        <f t="shared" si="81"/>
        <v>3364.6</v>
      </c>
      <c r="CQ72">
        <f t="shared" si="82"/>
        <v>0</v>
      </c>
      <c r="CR72">
        <f t="shared" si="83"/>
        <v>0</v>
      </c>
      <c r="CS72">
        <f t="shared" si="84"/>
        <v>0</v>
      </c>
      <c r="CT72">
        <f t="shared" si="85"/>
        <v>61.06</v>
      </c>
      <c r="CU72">
        <f t="shared" si="86"/>
        <v>0</v>
      </c>
      <c r="CV72">
        <f t="shared" si="87"/>
        <v>0.15600000000000003</v>
      </c>
      <c r="CW72">
        <f t="shared" si="88"/>
        <v>0</v>
      </c>
      <c r="CX72">
        <f t="shared" si="88"/>
        <v>0</v>
      </c>
      <c r="CY72">
        <f t="shared" si="89"/>
        <v>2287.9279999999999</v>
      </c>
      <c r="CZ72">
        <f t="shared" si="90"/>
        <v>1379.4859999999999</v>
      </c>
      <c r="DC72" t="s">
        <v>3</v>
      </c>
      <c r="DD72" t="s">
        <v>3</v>
      </c>
      <c r="DE72" t="s">
        <v>3</v>
      </c>
      <c r="DF72" t="s">
        <v>3</v>
      </c>
      <c r="DG72" t="s">
        <v>113</v>
      </c>
      <c r="DH72" t="s">
        <v>3</v>
      </c>
      <c r="DI72" t="s">
        <v>113</v>
      </c>
      <c r="DJ72" t="s">
        <v>3</v>
      </c>
      <c r="DK72" t="s">
        <v>3</v>
      </c>
      <c r="DL72" t="s">
        <v>3</v>
      </c>
      <c r="DM72" t="s">
        <v>3</v>
      </c>
      <c r="DN72">
        <v>75</v>
      </c>
      <c r="DO72">
        <v>70</v>
      </c>
      <c r="DP72">
        <v>1</v>
      </c>
      <c r="DQ72">
        <v>1</v>
      </c>
      <c r="DU72">
        <v>1013</v>
      </c>
      <c r="DV72" t="s">
        <v>130</v>
      </c>
      <c r="DW72" t="s">
        <v>130</v>
      </c>
      <c r="DX72">
        <v>1</v>
      </c>
      <c r="DZ72" t="s">
        <v>3</v>
      </c>
      <c r="EA72" t="s">
        <v>3</v>
      </c>
      <c r="EB72" t="s">
        <v>3</v>
      </c>
      <c r="EC72" t="s">
        <v>3</v>
      </c>
      <c r="EE72">
        <v>22827222</v>
      </c>
      <c r="EF72">
        <v>50</v>
      </c>
      <c r="EG72" t="s">
        <v>108</v>
      </c>
      <c r="EH72">
        <v>0</v>
      </c>
      <c r="EI72" t="s">
        <v>3</v>
      </c>
      <c r="EJ72">
        <v>4</v>
      </c>
      <c r="EK72">
        <v>381</v>
      </c>
      <c r="EL72" t="s">
        <v>114</v>
      </c>
      <c r="EM72" t="s">
        <v>115</v>
      </c>
      <c r="EO72" t="s">
        <v>116</v>
      </c>
      <c r="EQ72">
        <v>0</v>
      </c>
      <c r="ER72">
        <v>2.37</v>
      </c>
      <c r="ES72">
        <v>0</v>
      </c>
      <c r="ET72">
        <v>0</v>
      </c>
      <c r="EU72">
        <v>0</v>
      </c>
      <c r="EV72">
        <v>2.37</v>
      </c>
      <c r="EW72">
        <v>0.15</v>
      </c>
      <c r="EX72">
        <v>0</v>
      </c>
      <c r="EY72">
        <v>0</v>
      </c>
      <c r="FQ72">
        <v>0</v>
      </c>
      <c r="FR72">
        <f t="shared" si="91"/>
        <v>0</v>
      </c>
      <c r="FS72">
        <v>0</v>
      </c>
      <c r="FX72">
        <v>75</v>
      </c>
      <c r="FY72">
        <v>70</v>
      </c>
      <c r="GA72" t="s">
        <v>3</v>
      </c>
      <c r="GD72">
        <v>0</v>
      </c>
      <c r="GF72">
        <v>1785522873</v>
      </c>
      <c r="GG72">
        <v>2</v>
      </c>
      <c r="GH72">
        <v>1</v>
      </c>
      <c r="GI72">
        <v>2</v>
      </c>
      <c r="GJ72">
        <v>0</v>
      </c>
      <c r="GK72">
        <f>ROUND(R72*(R12)/100,2)</f>
        <v>0</v>
      </c>
      <c r="GL72">
        <f t="shared" si="92"/>
        <v>0</v>
      </c>
      <c r="GM72">
        <f t="shared" si="93"/>
        <v>7032.02</v>
      </c>
      <c r="GN72">
        <f t="shared" si="94"/>
        <v>0</v>
      </c>
      <c r="GO72">
        <f t="shared" si="95"/>
        <v>0</v>
      </c>
      <c r="GP72">
        <f t="shared" si="96"/>
        <v>7032.02</v>
      </c>
      <c r="GR72">
        <v>0</v>
      </c>
      <c r="GS72">
        <v>0</v>
      </c>
      <c r="GT72">
        <v>0</v>
      </c>
      <c r="GU72" t="s">
        <v>3</v>
      </c>
      <c r="GV72">
        <f t="shared" si="97"/>
        <v>0</v>
      </c>
      <c r="GW72">
        <v>1</v>
      </c>
      <c r="GX72">
        <f t="shared" si="98"/>
        <v>0</v>
      </c>
      <c r="HA72">
        <v>0</v>
      </c>
      <c r="HB72">
        <v>0</v>
      </c>
      <c r="HC72">
        <f t="shared" si="99"/>
        <v>0</v>
      </c>
      <c r="HE72" t="s">
        <v>3</v>
      </c>
      <c r="HF72" t="s">
        <v>3</v>
      </c>
      <c r="IK72">
        <v>0</v>
      </c>
    </row>
    <row r="73" spans="1:245" x14ac:dyDescent="0.2">
      <c r="A73">
        <v>17</v>
      </c>
      <c r="B73">
        <v>1</v>
      </c>
      <c r="E73" t="s">
        <v>132</v>
      </c>
      <c r="F73" t="s">
        <v>133</v>
      </c>
      <c r="G73" t="s">
        <v>134</v>
      </c>
      <c r="H73" t="s">
        <v>135</v>
      </c>
      <c r="I73">
        <v>3</v>
      </c>
      <c r="J73">
        <v>0</v>
      </c>
      <c r="O73">
        <f t="shared" si="62"/>
        <v>2206.25</v>
      </c>
      <c r="P73">
        <f t="shared" si="63"/>
        <v>0</v>
      </c>
      <c r="Q73">
        <f t="shared" si="64"/>
        <v>0</v>
      </c>
      <c r="R73">
        <f t="shared" si="65"/>
        <v>0</v>
      </c>
      <c r="S73">
        <f t="shared" si="66"/>
        <v>2206.25</v>
      </c>
      <c r="T73">
        <f t="shared" si="67"/>
        <v>0</v>
      </c>
      <c r="U73">
        <f t="shared" si="68"/>
        <v>5.6160000000000014</v>
      </c>
      <c r="V73">
        <f t="shared" si="69"/>
        <v>0</v>
      </c>
      <c r="W73">
        <f t="shared" si="70"/>
        <v>0</v>
      </c>
      <c r="X73">
        <f t="shared" si="71"/>
        <v>1500.25</v>
      </c>
      <c r="Y73">
        <f t="shared" si="71"/>
        <v>904.56</v>
      </c>
      <c r="AA73">
        <v>23646166</v>
      </c>
      <c r="AB73">
        <f t="shared" si="72"/>
        <v>29.6296</v>
      </c>
      <c r="AC73">
        <f t="shared" si="73"/>
        <v>0</v>
      </c>
      <c r="AD73">
        <f t="shared" si="74"/>
        <v>0</v>
      </c>
      <c r="AE73">
        <f t="shared" si="75"/>
        <v>0</v>
      </c>
      <c r="AF73">
        <f t="shared" si="76"/>
        <v>29.6296</v>
      </c>
      <c r="AG73">
        <f t="shared" si="77"/>
        <v>0</v>
      </c>
      <c r="AH73">
        <f t="shared" si="78"/>
        <v>1.8720000000000003</v>
      </c>
      <c r="AI73">
        <f t="shared" si="79"/>
        <v>0</v>
      </c>
      <c r="AJ73">
        <f t="shared" si="80"/>
        <v>0</v>
      </c>
      <c r="AK73">
        <v>28.49</v>
      </c>
      <c r="AL73">
        <v>0</v>
      </c>
      <c r="AM73">
        <v>0</v>
      </c>
      <c r="AN73">
        <v>0</v>
      </c>
      <c r="AO73">
        <v>28.49</v>
      </c>
      <c r="AP73">
        <v>0</v>
      </c>
      <c r="AQ73">
        <v>1.8</v>
      </c>
      <c r="AR73">
        <v>0</v>
      </c>
      <c r="AS73">
        <v>0</v>
      </c>
      <c r="AT73">
        <v>68</v>
      </c>
      <c r="AU73">
        <v>41</v>
      </c>
      <c r="AV73">
        <v>1</v>
      </c>
      <c r="AW73">
        <v>1</v>
      </c>
      <c r="AZ73">
        <v>1</v>
      </c>
      <c r="BA73">
        <v>24.82</v>
      </c>
      <c r="BB73">
        <v>1</v>
      </c>
      <c r="BC73">
        <v>1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4</v>
      </c>
      <c r="BJ73" t="s">
        <v>136</v>
      </c>
      <c r="BM73">
        <v>381</v>
      </c>
      <c r="BN73">
        <v>0</v>
      </c>
      <c r="BO73" t="s">
        <v>3</v>
      </c>
      <c r="BP73">
        <v>0</v>
      </c>
      <c r="BQ73">
        <v>50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68</v>
      </c>
      <c r="CA73">
        <v>41</v>
      </c>
      <c r="CE73">
        <v>30</v>
      </c>
      <c r="CF73">
        <v>0</v>
      </c>
      <c r="CG73">
        <v>0</v>
      </c>
      <c r="CM73">
        <v>0</v>
      </c>
      <c r="CN73" t="s">
        <v>173</v>
      </c>
      <c r="CO73">
        <v>0</v>
      </c>
      <c r="CP73">
        <f t="shared" si="81"/>
        <v>2206.25</v>
      </c>
      <c r="CQ73">
        <f t="shared" si="82"/>
        <v>0</v>
      </c>
      <c r="CR73">
        <f t="shared" si="83"/>
        <v>0</v>
      </c>
      <c r="CS73">
        <f t="shared" si="84"/>
        <v>0</v>
      </c>
      <c r="CT73">
        <f t="shared" si="85"/>
        <v>735.42</v>
      </c>
      <c r="CU73">
        <f t="shared" si="86"/>
        <v>0</v>
      </c>
      <c r="CV73">
        <f t="shared" si="87"/>
        <v>1.8720000000000003</v>
      </c>
      <c r="CW73">
        <f t="shared" si="88"/>
        <v>0</v>
      </c>
      <c r="CX73">
        <f t="shared" si="88"/>
        <v>0</v>
      </c>
      <c r="CY73">
        <f t="shared" si="89"/>
        <v>1500.25</v>
      </c>
      <c r="CZ73">
        <f t="shared" si="90"/>
        <v>904.5625</v>
      </c>
      <c r="DC73" t="s">
        <v>3</v>
      </c>
      <c r="DD73" t="s">
        <v>3</v>
      </c>
      <c r="DE73" t="s">
        <v>3</v>
      </c>
      <c r="DF73" t="s">
        <v>3</v>
      </c>
      <c r="DG73" t="s">
        <v>113</v>
      </c>
      <c r="DH73" t="s">
        <v>3</v>
      </c>
      <c r="DI73" t="s">
        <v>113</v>
      </c>
      <c r="DJ73" t="s">
        <v>3</v>
      </c>
      <c r="DK73" t="s">
        <v>3</v>
      </c>
      <c r="DL73" t="s">
        <v>3</v>
      </c>
      <c r="DM73" t="s">
        <v>3</v>
      </c>
      <c r="DN73">
        <v>75</v>
      </c>
      <c r="DO73">
        <v>70</v>
      </c>
      <c r="DP73">
        <v>1</v>
      </c>
      <c r="DQ73">
        <v>1</v>
      </c>
      <c r="DU73">
        <v>1013</v>
      </c>
      <c r="DV73" t="s">
        <v>135</v>
      </c>
      <c r="DW73" t="s">
        <v>135</v>
      </c>
      <c r="DX73">
        <v>1</v>
      </c>
      <c r="DZ73" t="s">
        <v>3</v>
      </c>
      <c r="EA73" t="s">
        <v>3</v>
      </c>
      <c r="EB73" t="s">
        <v>3</v>
      </c>
      <c r="EC73" t="s">
        <v>3</v>
      </c>
      <c r="EE73">
        <v>22827222</v>
      </c>
      <c r="EF73">
        <v>50</v>
      </c>
      <c r="EG73" t="s">
        <v>108</v>
      </c>
      <c r="EH73">
        <v>0</v>
      </c>
      <c r="EI73" t="s">
        <v>3</v>
      </c>
      <c r="EJ73">
        <v>4</v>
      </c>
      <c r="EK73">
        <v>381</v>
      </c>
      <c r="EL73" t="s">
        <v>114</v>
      </c>
      <c r="EM73" t="s">
        <v>115</v>
      </c>
      <c r="EO73" t="s">
        <v>137</v>
      </c>
      <c r="EQ73">
        <v>0</v>
      </c>
      <c r="ER73">
        <v>28.49</v>
      </c>
      <c r="ES73">
        <v>0</v>
      </c>
      <c r="ET73">
        <v>0</v>
      </c>
      <c r="EU73">
        <v>0</v>
      </c>
      <c r="EV73">
        <v>28.49</v>
      </c>
      <c r="EW73">
        <v>1.8</v>
      </c>
      <c r="EX73">
        <v>0</v>
      </c>
      <c r="EY73">
        <v>0</v>
      </c>
      <c r="FQ73">
        <v>0</v>
      </c>
      <c r="FR73">
        <f t="shared" si="91"/>
        <v>0</v>
      </c>
      <c r="FS73">
        <v>0</v>
      </c>
      <c r="FX73">
        <v>75</v>
      </c>
      <c r="FY73">
        <v>70</v>
      </c>
      <c r="GA73" t="s">
        <v>3</v>
      </c>
      <c r="GD73">
        <v>0</v>
      </c>
      <c r="GF73">
        <v>-427814287</v>
      </c>
      <c r="GG73">
        <v>2</v>
      </c>
      <c r="GH73">
        <v>1</v>
      </c>
      <c r="GI73">
        <v>2</v>
      </c>
      <c r="GJ73">
        <v>0</v>
      </c>
      <c r="GK73">
        <f>ROUND(R73*(R12)/100,2)</f>
        <v>0</v>
      </c>
      <c r="GL73">
        <f t="shared" si="92"/>
        <v>0</v>
      </c>
      <c r="GM73">
        <f t="shared" si="93"/>
        <v>4611.0600000000004</v>
      </c>
      <c r="GN73">
        <f t="shared" si="94"/>
        <v>0</v>
      </c>
      <c r="GO73">
        <f t="shared" si="95"/>
        <v>0</v>
      </c>
      <c r="GP73">
        <f t="shared" si="96"/>
        <v>4611.0600000000004</v>
      </c>
      <c r="GR73">
        <v>0</v>
      </c>
      <c r="GS73">
        <v>0</v>
      </c>
      <c r="GT73">
        <v>0</v>
      </c>
      <c r="GU73" t="s">
        <v>3</v>
      </c>
      <c r="GV73">
        <f t="shared" si="97"/>
        <v>0</v>
      </c>
      <c r="GW73">
        <v>1</v>
      </c>
      <c r="GX73">
        <f t="shared" si="98"/>
        <v>0</v>
      </c>
      <c r="HA73">
        <v>0</v>
      </c>
      <c r="HB73">
        <v>0</v>
      </c>
      <c r="HC73">
        <f t="shared" si="99"/>
        <v>0</v>
      </c>
      <c r="HE73" t="s">
        <v>3</v>
      </c>
      <c r="HF73" t="s">
        <v>3</v>
      </c>
      <c r="IK73">
        <v>0</v>
      </c>
    </row>
    <row r="74" spans="1:245" x14ac:dyDescent="0.2">
      <c r="A74">
        <v>17</v>
      </c>
      <c r="B74">
        <v>1</v>
      </c>
      <c r="E74" t="s">
        <v>138</v>
      </c>
      <c r="F74" t="s">
        <v>139</v>
      </c>
      <c r="G74" t="s">
        <v>140</v>
      </c>
      <c r="H74" t="s">
        <v>125</v>
      </c>
      <c r="I74">
        <v>8</v>
      </c>
      <c r="J74">
        <v>0</v>
      </c>
      <c r="O74">
        <f t="shared" si="62"/>
        <v>25125.040000000001</v>
      </c>
      <c r="P74">
        <f t="shared" si="63"/>
        <v>0</v>
      </c>
      <c r="Q74">
        <f t="shared" si="64"/>
        <v>0</v>
      </c>
      <c r="R74">
        <f t="shared" si="65"/>
        <v>0</v>
      </c>
      <c r="S74">
        <f t="shared" si="66"/>
        <v>25125.040000000001</v>
      </c>
      <c r="T74">
        <f t="shared" si="67"/>
        <v>0</v>
      </c>
      <c r="U74">
        <f t="shared" si="68"/>
        <v>67.391999999999996</v>
      </c>
      <c r="V74">
        <f t="shared" si="69"/>
        <v>0</v>
      </c>
      <c r="W74">
        <f t="shared" si="70"/>
        <v>0</v>
      </c>
      <c r="X74">
        <f t="shared" si="71"/>
        <v>17085.03</v>
      </c>
      <c r="Y74">
        <f t="shared" si="71"/>
        <v>10301.27</v>
      </c>
      <c r="AA74">
        <v>23646166</v>
      </c>
      <c r="AB74">
        <f t="shared" si="72"/>
        <v>126.5368</v>
      </c>
      <c r="AC74">
        <f t="shared" si="73"/>
        <v>0</v>
      </c>
      <c r="AD74">
        <f t="shared" si="74"/>
        <v>0</v>
      </c>
      <c r="AE74">
        <f t="shared" si="75"/>
        <v>0</v>
      </c>
      <c r="AF74">
        <f t="shared" si="76"/>
        <v>126.5368</v>
      </c>
      <c r="AG74">
        <f t="shared" si="77"/>
        <v>0</v>
      </c>
      <c r="AH74">
        <f t="shared" si="78"/>
        <v>8.4239999999999995</v>
      </c>
      <c r="AI74">
        <f t="shared" si="79"/>
        <v>0</v>
      </c>
      <c r="AJ74">
        <f t="shared" si="80"/>
        <v>0</v>
      </c>
      <c r="AK74">
        <v>121.67</v>
      </c>
      <c r="AL74">
        <v>0</v>
      </c>
      <c r="AM74">
        <v>0</v>
      </c>
      <c r="AN74">
        <v>0</v>
      </c>
      <c r="AO74">
        <v>121.67</v>
      </c>
      <c r="AP74">
        <v>0</v>
      </c>
      <c r="AQ74">
        <v>8.1</v>
      </c>
      <c r="AR74">
        <v>0</v>
      </c>
      <c r="AS74">
        <v>0</v>
      </c>
      <c r="AT74">
        <v>68</v>
      </c>
      <c r="AU74">
        <v>41</v>
      </c>
      <c r="AV74">
        <v>1</v>
      </c>
      <c r="AW74">
        <v>1</v>
      </c>
      <c r="AZ74">
        <v>1</v>
      </c>
      <c r="BA74">
        <v>24.82</v>
      </c>
      <c r="BB74">
        <v>1</v>
      </c>
      <c r="BC74">
        <v>1</v>
      </c>
      <c r="BD74" t="s">
        <v>3</v>
      </c>
      <c r="BE74" t="s">
        <v>3</v>
      </c>
      <c r="BF74" t="s">
        <v>3</v>
      </c>
      <c r="BG74" t="s">
        <v>3</v>
      </c>
      <c r="BH74">
        <v>0</v>
      </c>
      <c r="BI74">
        <v>4</v>
      </c>
      <c r="BJ74" t="s">
        <v>141</v>
      </c>
      <c r="BM74">
        <v>381</v>
      </c>
      <c r="BN74">
        <v>0</v>
      </c>
      <c r="BO74" t="s">
        <v>3</v>
      </c>
      <c r="BP74">
        <v>0</v>
      </c>
      <c r="BQ74">
        <v>50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68</v>
      </c>
      <c r="CA74">
        <v>41</v>
      </c>
      <c r="CE74">
        <v>30</v>
      </c>
      <c r="CF74">
        <v>0</v>
      </c>
      <c r="CG74">
        <v>0</v>
      </c>
      <c r="CM74">
        <v>0</v>
      </c>
      <c r="CN74" t="s">
        <v>173</v>
      </c>
      <c r="CO74">
        <v>0</v>
      </c>
      <c r="CP74">
        <f t="shared" si="81"/>
        <v>25125.040000000001</v>
      </c>
      <c r="CQ74">
        <f t="shared" si="82"/>
        <v>0</v>
      </c>
      <c r="CR74">
        <f t="shared" si="83"/>
        <v>0</v>
      </c>
      <c r="CS74">
        <f t="shared" si="84"/>
        <v>0</v>
      </c>
      <c r="CT74">
        <f t="shared" si="85"/>
        <v>3140.72</v>
      </c>
      <c r="CU74">
        <f t="shared" si="86"/>
        <v>0</v>
      </c>
      <c r="CV74">
        <f t="shared" si="87"/>
        <v>8.4239999999999995</v>
      </c>
      <c r="CW74">
        <f t="shared" si="88"/>
        <v>0</v>
      </c>
      <c r="CX74">
        <f t="shared" si="88"/>
        <v>0</v>
      </c>
      <c r="CY74">
        <f t="shared" si="89"/>
        <v>17085.0272</v>
      </c>
      <c r="CZ74">
        <f t="shared" si="90"/>
        <v>10301.2664</v>
      </c>
      <c r="DC74" t="s">
        <v>3</v>
      </c>
      <c r="DD74" t="s">
        <v>3</v>
      </c>
      <c r="DE74" t="s">
        <v>3</v>
      </c>
      <c r="DF74" t="s">
        <v>3</v>
      </c>
      <c r="DG74" t="s">
        <v>113</v>
      </c>
      <c r="DH74" t="s">
        <v>3</v>
      </c>
      <c r="DI74" t="s">
        <v>113</v>
      </c>
      <c r="DJ74" t="s">
        <v>3</v>
      </c>
      <c r="DK74" t="s">
        <v>3</v>
      </c>
      <c r="DL74" t="s">
        <v>3</v>
      </c>
      <c r="DM74" t="s">
        <v>3</v>
      </c>
      <c r="DN74">
        <v>75</v>
      </c>
      <c r="DO74">
        <v>70</v>
      </c>
      <c r="DP74">
        <v>1</v>
      </c>
      <c r="DQ74">
        <v>1</v>
      </c>
      <c r="DU74">
        <v>1013</v>
      </c>
      <c r="DV74" t="s">
        <v>125</v>
      </c>
      <c r="DW74" t="s">
        <v>125</v>
      </c>
      <c r="DX74">
        <v>1</v>
      </c>
      <c r="DZ74" t="s">
        <v>3</v>
      </c>
      <c r="EA74" t="s">
        <v>3</v>
      </c>
      <c r="EB74" t="s">
        <v>3</v>
      </c>
      <c r="EC74" t="s">
        <v>3</v>
      </c>
      <c r="EE74">
        <v>22827222</v>
      </c>
      <c r="EF74">
        <v>50</v>
      </c>
      <c r="EG74" t="s">
        <v>108</v>
      </c>
      <c r="EH74">
        <v>0</v>
      </c>
      <c r="EI74" t="s">
        <v>3</v>
      </c>
      <c r="EJ74">
        <v>4</v>
      </c>
      <c r="EK74">
        <v>381</v>
      </c>
      <c r="EL74" t="s">
        <v>114</v>
      </c>
      <c r="EM74" t="s">
        <v>115</v>
      </c>
      <c r="EO74" t="s">
        <v>137</v>
      </c>
      <c r="EQ74">
        <v>0</v>
      </c>
      <c r="ER74">
        <v>121.67</v>
      </c>
      <c r="ES74">
        <v>0</v>
      </c>
      <c r="ET74">
        <v>0</v>
      </c>
      <c r="EU74">
        <v>0</v>
      </c>
      <c r="EV74">
        <v>121.67</v>
      </c>
      <c r="EW74">
        <v>8.1</v>
      </c>
      <c r="EX74">
        <v>0</v>
      </c>
      <c r="EY74">
        <v>0</v>
      </c>
      <c r="FQ74">
        <v>0</v>
      </c>
      <c r="FR74">
        <f t="shared" si="91"/>
        <v>0</v>
      </c>
      <c r="FS74">
        <v>0</v>
      </c>
      <c r="FX74">
        <v>75</v>
      </c>
      <c r="FY74">
        <v>70</v>
      </c>
      <c r="GA74" t="s">
        <v>3</v>
      </c>
      <c r="GD74">
        <v>0</v>
      </c>
      <c r="GF74">
        <v>337154466</v>
      </c>
      <c r="GG74">
        <v>2</v>
      </c>
      <c r="GH74">
        <v>1</v>
      </c>
      <c r="GI74">
        <v>2</v>
      </c>
      <c r="GJ74">
        <v>0</v>
      </c>
      <c r="GK74">
        <f>ROUND(R74*(R12)/100,2)</f>
        <v>0</v>
      </c>
      <c r="GL74">
        <f t="shared" si="92"/>
        <v>0</v>
      </c>
      <c r="GM74">
        <f t="shared" si="93"/>
        <v>52511.34</v>
      </c>
      <c r="GN74">
        <f t="shared" si="94"/>
        <v>0</v>
      </c>
      <c r="GO74">
        <f t="shared" si="95"/>
        <v>0</v>
      </c>
      <c r="GP74">
        <f t="shared" si="96"/>
        <v>52511.34</v>
      </c>
      <c r="GR74">
        <v>0</v>
      </c>
      <c r="GS74">
        <v>0</v>
      </c>
      <c r="GT74">
        <v>0</v>
      </c>
      <c r="GU74" t="s">
        <v>3</v>
      </c>
      <c r="GV74">
        <f t="shared" si="97"/>
        <v>0</v>
      </c>
      <c r="GW74">
        <v>1</v>
      </c>
      <c r="GX74">
        <f t="shared" si="98"/>
        <v>0</v>
      </c>
      <c r="HA74">
        <v>0</v>
      </c>
      <c r="HB74">
        <v>0</v>
      </c>
      <c r="HC74">
        <f t="shared" si="99"/>
        <v>0</v>
      </c>
      <c r="HE74" t="s">
        <v>3</v>
      </c>
      <c r="HF74" t="s">
        <v>3</v>
      </c>
      <c r="IK74">
        <v>0</v>
      </c>
    </row>
    <row r="75" spans="1:245" x14ac:dyDescent="0.2">
      <c r="A75">
        <v>17</v>
      </c>
      <c r="B75">
        <v>1</v>
      </c>
      <c r="E75" t="s">
        <v>142</v>
      </c>
      <c r="F75" t="s">
        <v>143</v>
      </c>
      <c r="G75" t="s">
        <v>144</v>
      </c>
      <c r="H75" t="s">
        <v>120</v>
      </c>
      <c r="I75">
        <v>9</v>
      </c>
      <c r="J75">
        <v>0</v>
      </c>
      <c r="O75">
        <f t="shared" si="62"/>
        <v>6618.75</v>
      </c>
      <c r="P75">
        <f t="shared" si="63"/>
        <v>0</v>
      </c>
      <c r="Q75">
        <f t="shared" si="64"/>
        <v>0</v>
      </c>
      <c r="R75">
        <f t="shared" si="65"/>
        <v>0</v>
      </c>
      <c r="S75">
        <f t="shared" si="66"/>
        <v>6618.75</v>
      </c>
      <c r="T75">
        <f t="shared" si="67"/>
        <v>0</v>
      </c>
      <c r="U75">
        <f t="shared" si="68"/>
        <v>16.848000000000003</v>
      </c>
      <c r="V75">
        <f t="shared" si="69"/>
        <v>0</v>
      </c>
      <c r="W75">
        <f t="shared" si="70"/>
        <v>0</v>
      </c>
      <c r="X75">
        <f t="shared" si="71"/>
        <v>4500.75</v>
      </c>
      <c r="Y75">
        <f t="shared" si="71"/>
        <v>2713.69</v>
      </c>
      <c r="AA75">
        <v>23646166</v>
      </c>
      <c r="AB75">
        <f t="shared" si="72"/>
        <v>29.6296</v>
      </c>
      <c r="AC75">
        <f t="shared" si="73"/>
        <v>0</v>
      </c>
      <c r="AD75">
        <f t="shared" si="74"/>
        <v>0</v>
      </c>
      <c r="AE75">
        <f t="shared" si="75"/>
        <v>0</v>
      </c>
      <c r="AF75">
        <f t="shared" si="76"/>
        <v>29.6296</v>
      </c>
      <c r="AG75">
        <f t="shared" si="77"/>
        <v>0</v>
      </c>
      <c r="AH75">
        <f t="shared" si="78"/>
        <v>1.8720000000000003</v>
      </c>
      <c r="AI75">
        <f t="shared" si="79"/>
        <v>0</v>
      </c>
      <c r="AJ75">
        <f t="shared" si="80"/>
        <v>0</v>
      </c>
      <c r="AK75">
        <v>28.49</v>
      </c>
      <c r="AL75">
        <v>0</v>
      </c>
      <c r="AM75">
        <v>0</v>
      </c>
      <c r="AN75">
        <v>0</v>
      </c>
      <c r="AO75">
        <v>28.49</v>
      </c>
      <c r="AP75">
        <v>0</v>
      </c>
      <c r="AQ75">
        <v>1.8</v>
      </c>
      <c r="AR75">
        <v>0</v>
      </c>
      <c r="AS75">
        <v>0</v>
      </c>
      <c r="AT75">
        <v>68</v>
      </c>
      <c r="AU75">
        <v>41</v>
      </c>
      <c r="AV75">
        <v>1</v>
      </c>
      <c r="AW75">
        <v>1</v>
      </c>
      <c r="AZ75">
        <v>1</v>
      </c>
      <c r="BA75">
        <v>24.82</v>
      </c>
      <c r="BB75">
        <v>1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4</v>
      </c>
      <c r="BJ75" t="s">
        <v>145</v>
      </c>
      <c r="BM75">
        <v>381</v>
      </c>
      <c r="BN75">
        <v>0</v>
      </c>
      <c r="BO75" t="s">
        <v>3</v>
      </c>
      <c r="BP75">
        <v>0</v>
      </c>
      <c r="BQ75">
        <v>50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68</v>
      </c>
      <c r="CA75">
        <v>41</v>
      </c>
      <c r="CE75">
        <v>30</v>
      </c>
      <c r="CF75">
        <v>0</v>
      </c>
      <c r="CG75">
        <v>0</v>
      </c>
      <c r="CM75">
        <v>0</v>
      </c>
      <c r="CN75" t="s">
        <v>172</v>
      </c>
      <c r="CO75">
        <v>0</v>
      </c>
      <c r="CP75">
        <f t="shared" si="81"/>
        <v>6618.75</v>
      </c>
      <c r="CQ75">
        <f t="shared" si="82"/>
        <v>0</v>
      </c>
      <c r="CR75">
        <f t="shared" si="83"/>
        <v>0</v>
      </c>
      <c r="CS75">
        <f t="shared" si="84"/>
        <v>0</v>
      </c>
      <c r="CT75">
        <f t="shared" si="85"/>
        <v>735.42</v>
      </c>
      <c r="CU75">
        <f t="shared" si="86"/>
        <v>0</v>
      </c>
      <c r="CV75">
        <f t="shared" si="87"/>
        <v>1.8720000000000003</v>
      </c>
      <c r="CW75">
        <f t="shared" si="88"/>
        <v>0</v>
      </c>
      <c r="CX75">
        <f t="shared" si="88"/>
        <v>0</v>
      </c>
      <c r="CY75">
        <f t="shared" si="89"/>
        <v>4500.75</v>
      </c>
      <c r="CZ75">
        <f t="shared" si="90"/>
        <v>2713.6875</v>
      </c>
      <c r="DC75" t="s">
        <v>3</v>
      </c>
      <c r="DD75" t="s">
        <v>3</v>
      </c>
      <c r="DE75" t="s">
        <v>3</v>
      </c>
      <c r="DF75" t="s">
        <v>3</v>
      </c>
      <c r="DG75" t="s">
        <v>113</v>
      </c>
      <c r="DH75" t="s">
        <v>3</v>
      </c>
      <c r="DI75" t="s">
        <v>113</v>
      </c>
      <c r="DJ75" t="s">
        <v>3</v>
      </c>
      <c r="DK75" t="s">
        <v>3</v>
      </c>
      <c r="DL75" t="s">
        <v>3</v>
      </c>
      <c r="DM75" t="s">
        <v>3</v>
      </c>
      <c r="DN75">
        <v>75</v>
      </c>
      <c r="DO75">
        <v>70</v>
      </c>
      <c r="DP75">
        <v>1</v>
      </c>
      <c r="DQ75">
        <v>1</v>
      </c>
      <c r="DU75">
        <v>1013</v>
      </c>
      <c r="DV75" t="s">
        <v>120</v>
      </c>
      <c r="DW75" t="s">
        <v>120</v>
      </c>
      <c r="DX75">
        <v>1</v>
      </c>
      <c r="DZ75" t="s">
        <v>3</v>
      </c>
      <c r="EA75" t="s">
        <v>3</v>
      </c>
      <c r="EB75" t="s">
        <v>3</v>
      </c>
      <c r="EC75" t="s">
        <v>3</v>
      </c>
      <c r="EE75">
        <v>22827222</v>
      </c>
      <c r="EF75">
        <v>50</v>
      </c>
      <c r="EG75" t="s">
        <v>108</v>
      </c>
      <c r="EH75">
        <v>0</v>
      </c>
      <c r="EI75" t="s">
        <v>3</v>
      </c>
      <c r="EJ75">
        <v>4</v>
      </c>
      <c r="EK75">
        <v>381</v>
      </c>
      <c r="EL75" t="s">
        <v>114</v>
      </c>
      <c r="EM75" t="s">
        <v>115</v>
      </c>
      <c r="EO75" t="s">
        <v>116</v>
      </c>
      <c r="EQ75">
        <v>0</v>
      </c>
      <c r="ER75">
        <v>28.49</v>
      </c>
      <c r="ES75">
        <v>0</v>
      </c>
      <c r="ET75">
        <v>0</v>
      </c>
      <c r="EU75">
        <v>0</v>
      </c>
      <c r="EV75">
        <v>28.49</v>
      </c>
      <c r="EW75">
        <v>1.8</v>
      </c>
      <c r="EX75">
        <v>0</v>
      </c>
      <c r="EY75">
        <v>0</v>
      </c>
      <c r="FQ75">
        <v>0</v>
      </c>
      <c r="FR75">
        <f t="shared" si="91"/>
        <v>0</v>
      </c>
      <c r="FS75">
        <v>0</v>
      </c>
      <c r="FX75">
        <v>75</v>
      </c>
      <c r="FY75">
        <v>70</v>
      </c>
      <c r="GA75" t="s">
        <v>3</v>
      </c>
      <c r="GD75">
        <v>0</v>
      </c>
      <c r="GF75">
        <v>-1406347337</v>
      </c>
      <c r="GG75">
        <v>2</v>
      </c>
      <c r="GH75">
        <v>1</v>
      </c>
      <c r="GI75">
        <v>2</v>
      </c>
      <c r="GJ75">
        <v>0</v>
      </c>
      <c r="GK75">
        <f>ROUND(R75*(R12)/100,2)</f>
        <v>0</v>
      </c>
      <c r="GL75">
        <f t="shared" si="92"/>
        <v>0</v>
      </c>
      <c r="GM75">
        <f t="shared" si="93"/>
        <v>13833.19</v>
      </c>
      <c r="GN75">
        <f t="shared" si="94"/>
        <v>0</v>
      </c>
      <c r="GO75">
        <f t="shared" si="95"/>
        <v>0</v>
      </c>
      <c r="GP75">
        <f t="shared" si="96"/>
        <v>13833.19</v>
      </c>
      <c r="GR75">
        <v>0</v>
      </c>
      <c r="GS75">
        <v>0</v>
      </c>
      <c r="GT75">
        <v>0</v>
      </c>
      <c r="GU75" t="s">
        <v>3</v>
      </c>
      <c r="GV75">
        <f t="shared" si="97"/>
        <v>0</v>
      </c>
      <c r="GW75">
        <v>1</v>
      </c>
      <c r="GX75">
        <f t="shared" si="98"/>
        <v>0</v>
      </c>
      <c r="HA75">
        <v>0</v>
      </c>
      <c r="HB75">
        <v>0</v>
      </c>
      <c r="HC75">
        <f t="shared" si="99"/>
        <v>0</v>
      </c>
      <c r="HE75" t="s">
        <v>3</v>
      </c>
      <c r="HF75" t="s">
        <v>3</v>
      </c>
      <c r="IK75">
        <v>0</v>
      </c>
    </row>
    <row r="77" spans="1:245" x14ac:dyDescent="0.2">
      <c r="A77" s="2">
        <v>51</v>
      </c>
      <c r="B77" s="2">
        <f>B65</f>
        <v>1</v>
      </c>
      <c r="C77" s="2">
        <f>A65</f>
        <v>4</v>
      </c>
      <c r="D77" s="2">
        <f>ROW(A65)</f>
        <v>65</v>
      </c>
      <c r="E77" s="2"/>
      <c r="F77" s="2" t="str">
        <f>IF(F65&lt;&gt;"",F65,"")</f>
        <v>Новый раздел</v>
      </c>
      <c r="G77" s="2" t="str">
        <f>IF(G65&lt;&gt;"",G65,"")</f>
        <v>Пусконаладочные работы</v>
      </c>
      <c r="H77" s="2">
        <v>0</v>
      </c>
      <c r="I77" s="2"/>
      <c r="J77" s="2"/>
      <c r="K77" s="2"/>
      <c r="L77" s="2"/>
      <c r="M77" s="2"/>
      <c r="N77" s="2"/>
      <c r="O77" s="2">
        <f t="shared" ref="O77:T77" si="100">ROUND(AB77,2)</f>
        <v>81394.710000000006</v>
      </c>
      <c r="P77" s="2">
        <f t="shared" si="100"/>
        <v>0</v>
      </c>
      <c r="Q77" s="2">
        <f t="shared" si="100"/>
        <v>0</v>
      </c>
      <c r="R77" s="2">
        <f t="shared" si="100"/>
        <v>0</v>
      </c>
      <c r="S77" s="2">
        <f t="shared" si="100"/>
        <v>81394.710000000006</v>
      </c>
      <c r="T77" s="2">
        <f t="shared" si="100"/>
        <v>0</v>
      </c>
      <c r="U77" s="2">
        <f>AH77</f>
        <v>209.50800000000001</v>
      </c>
      <c r="V77" s="2">
        <f>AI77</f>
        <v>0</v>
      </c>
      <c r="W77" s="2">
        <f>ROUND(AJ77,2)</f>
        <v>0</v>
      </c>
      <c r="X77" s="2">
        <f>ROUND(AK77,2)</f>
        <v>55348.41</v>
      </c>
      <c r="Y77" s="2">
        <f>ROUND(AL77,2)</f>
        <v>33371.839999999997</v>
      </c>
      <c r="Z77" s="2"/>
      <c r="AA77" s="2"/>
      <c r="AB77" s="2">
        <f>ROUND(SUMIF(AA69:AA75,"=23646166",O69:O75),2)</f>
        <v>81394.710000000006</v>
      </c>
      <c r="AC77" s="2">
        <f>ROUND(SUMIF(AA69:AA75,"=23646166",P69:P75),2)</f>
        <v>0</v>
      </c>
      <c r="AD77" s="2">
        <f>ROUND(SUMIF(AA69:AA75,"=23646166",Q69:Q75),2)</f>
        <v>0</v>
      </c>
      <c r="AE77" s="2">
        <f>ROUND(SUMIF(AA69:AA75,"=23646166",R69:R75),2)</f>
        <v>0</v>
      </c>
      <c r="AF77" s="2">
        <f>ROUND(SUMIF(AA69:AA75,"=23646166",S69:S75),2)</f>
        <v>81394.710000000006</v>
      </c>
      <c r="AG77" s="2">
        <f>ROUND(SUMIF(AA69:AA75,"=23646166",T69:T75),2)</f>
        <v>0</v>
      </c>
      <c r="AH77" s="2">
        <f>SUMIF(AA69:AA75,"=23646166",U69:U75)</f>
        <v>209.50800000000001</v>
      </c>
      <c r="AI77" s="2">
        <f>SUMIF(AA69:AA75,"=23646166",V69:V75)</f>
        <v>0</v>
      </c>
      <c r="AJ77" s="2">
        <f>ROUND(SUMIF(AA69:AA75,"=23646166",W69:W75),2)</f>
        <v>0</v>
      </c>
      <c r="AK77" s="2">
        <f>ROUND(SUMIF(AA69:AA75,"=23646166",X69:X75),2)</f>
        <v>55348.41</v>
      </c>
      <c r="AL77" s="2">
        <f>ROUND(SUMIF(AA69:AA75,"=23646166",Y69:Y75),2)</f>
        <v>33371.839999999997</v>
      </c>
      <c r="AM77" s="2"/>
      <c r="AN77" s="2"/>
      <c r="AO77" s="2">
        <f t="shared" ref="AO77:BD77" si="101">ROUND(BX77,2)</f>
        <v>0</v>
      </c>
      <c r="AP77" s="2">
        <f t="shared" si="101"/>
        <v>0</v>
      </c>
      <c r="AQ77" s="2">
        <f t="shared" si="101"/>
        <v>0</v>
      </c>
      <c r="AR77" s="2">
        <f t="shared" si="101"/>
        <v>170114.96</v>
      </c>
      <c r="AS77" s="2">
        <f t="shared" si="101"/>
        <v>0</v>
      </c>
      <c r="AT77" s="2">
        <f t="shared" si="101"/>
        <v>0</v>
      </c>
      <c r="AU77" s="2">
        <f t="shared" si="101"/>
        <v>170114.96</v>
      </c>
      <c r="AV77" s="2">
        <f t="shared" si="101"/>
        <v>0</v>
      </c>
      <c r="AW77" s="2">
        <f t="shared" si="101"/>
        <v>0</v>
      </c>
      <c r="AX77" s="2">
        <f t="shared" si="101"/>
        <v>0</v>
      </c>
      <c r="AY77" s="2">
        <f t="shared" si="101"/>
        <v>0</v>
      </c>
      <c r="AZ77" s="2">
        <f t="shared" si="101"/>
        <v>0</v>
      </c>
      <c r="BA77" s="2">
        <f t="shared" si="101"/>
        <v>0</v>
      </c>
      <c r="BB77" s="2">
        <f t="shared" si="101"/>
        <v>0</v>
      </c>
      <c r="BC77" s="2">
        <f t="shared" si="101"/>
        <v>0</v>
      </c>
      <c r="BD77" s="2">
        <f t="shared" si="101"/>
        <v>0</v>
      </c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>
        <f>ROUND(SUMIF(AA69:AA75,"=23646166",FQ69:FQ75),2)</f>
        <v>0</v>
      </c>
      <c r="BY77" s="2">
        <f>ROUND(SUMIF(AA69:AA75,"=23646166",FR69:FR75),2)</f>
        <v>0</v>
      </c>
      <c r="BZ77" s="2">
        <f>ROUND(SUMIF(AA69:AA75,"=23646166",GL69:GL75),2)</f>
        <v>0</v>
      </c>
      <c r="CA77" s="2">
        <f>ROUND(SUMIF(AA69:AA75,"=23646166",GM69:GM75),2)</f>
        <v>170114.96</v>
      </c>
      <c r="CB77" s="2">
        <f>ROUND(SUMIF(AA69:AA75,"=23646166",GN69:GN75),2)</f>
        <v>0</v>
      </c>
      <c r="CC77" s="2">
        <f>ROUND(SUMIF(AA69:AA75,"=23646166",GO69:GO75),2)</f>
        <v>0</v>
      </c>
      <c r="CD77" s="2">
        <f>ROUND(SUMIF(AA69:AA75,"=23646166",GP69:GP75),2)</f>
        <v>170114.96</v>
      </c>
      <c r="CE77" s="2">
        <f>AC77-BX77</f>
        <v>0</v>
      </c>
      <c r="CF77" s="2">
        <f>AC77-BY77</f>
        <v>0</v>
      </c>
      <c r="CG77" s="2">
        <f>BX77-BZ77</f>
        <v>0</v>
      </c>
      <c r="CH77" s="2">
        <f>AC77-BX77-BY77+BZ77</f>
        <v>0</v>
      </c>
      <c r="CI77" s="2">
        <f>BY77-BZ77</f>
        <v>0</v>
      </c>
      <c r="CJ77" s="2">
        <f>ROUND(SUMIF(AA69:AA75,"=23646166",GX69:GX75),2)</f>
        <v>0</v>
      </c>
      <c r="CK77" s="2">
        <f>ROUND(SUMIF(AA69:AA75,"=23646166",GY69:GY75),2)</f>
        <v>0</v>
      </c>
      <c r="CL77" s="2">
        <f>ROUND(SUMIF(AA69:AA75,"=23646166",GZ69:GZ75),2)</f>
        <v>0</v>
      </c>
      <c r="CM77" s="2">
        <f>ROUND(SUMIF(AA69:AA75,"=23646166",HD69:HD75),2)</f>
        <v>0</v>
      </c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>
        <v>0</v>
      </c>
    </row>
    <row r="79" spans="1:245" x14ac:dyDescent="0.2">
      <c r="A79" s="4">
        <v>50</v>
      </c>
      <c r="B79" s="4">
        <v>0</v>
      </c>
      <c r="C79" s="4">
        <v>0</v>
      </c>
      <c r="D79" s="4">
        <v>1</v>
      </c>
      <c r="E79" s="4">
        <v>201</v>
      </c>
      <c r="F79" s="4">
        <f>ROUND(Source!O77,O79)</f>
        <v>81394.710000000006</v>
      </c>
      <c r="G79" s="4" t="s">
        <v>54</v>
      </c>
      <c r="H79" s="4" t="s">
        <v>55</v>
      </c>
      <c r="I79" s="4"/>
      <c r="J79" s="4"/>
      <c r="K79" s="4">
        <v>201</v>
      </c>
      <c r="L79" s="4">
        <v>1</v>
      </c>
      <c r="M79" s="4">
        <v>3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45" x14ac:dyDescent="0.2">
      <c r="A80" s="4">
        <v>50</v>
      </c>
      <c r="B80" s="4">
        <v>0</v>
      </c>
      <c r="C80" s="4">
        <v>0</v>
      </c>
      <c r="D80" s="4">
        <v>1</v>
      </c>
      <c r="E80" s="4">
        <v>202</v>
      </c>
      <c r="F80" s="4">
        <f>ROUND(Source!P77,O80)</f>
        <v>0</v>
      </c>
      <c r="G80" s="4" t="s">
        <v>56</v>
      </c>
      <c r="H80" s="4" t="s">
        <v>57</v>
      </c>
      <c r="I80" s="4"/>
      <c r="J80" s="4"/>
      <c r="K80" s="4">
        <v>202</v>
      </c>
      <c r="L80" s="4">
        <v>2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4">
        <v>50</v>
      </c>
      <c r="B81" s="4">
        <v>0</v>
      </c>
      <c r="C81" s="4">
        <v>0</v>
      </c>
      <c r="D81" s="4">
        <v>1</v>
      </c>
      <c r="E81" s="4">
        <v>222</v>
      </c>
      <c r="F81" s="4">
        <f>ROUND(Source!AO77,O81)</f>
        <v>0</v>
      </c>
      <c r="G81" s="4" t="s">
        <v>58</v>
      </c>
      <c r="H81" s="4" t="s">
        <v>59</v>
      </c>
      <c r="I81" s="4"/>
      <c r="J81" s="4"/>
      <c r="K81" s="4">
        <v>222</v>
      </c>
      <c r="L81" s="4">
        <v>3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4">
        <v>50</v>
      </c>
      <c r="B82" s="4">
        <v>0</v>
      </c>
      <c r="C82" s="4">
        <v>0</v>
      </c>
      <c r="D82" s="4">
        <v>1</v>
      </c>
      <c r="E82" s="4">
        <v>225</v>
      </c>
      <c r="F82" s="4">
        <f>ROUND(Source!AV77,O82)</f>
        <v>0</v>
      </c>
      <c r="G82" s="4" t="s">
        <v>60</v>
      </c>
      <c r="H82" s="4" t="s">
        <v>61</v>
      </c>
      <c r="I82" s="4"/>
      <c r="J82" s="4"/>
      <c r="K82" s="4">
        <v>225</v>
      </c>
      <c r="L82" s="4">
        <v>4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3" x14ac:dyDescent="0.2">
      <c r="A83" s="4">
        <v>50</v>
      </c>
      <c r="B83" s="4">
        <v>0</v>
      </c>
      <c r="C83" s="4">
        <v>0</v>
      </c>
      <c r="D83" s="4">
        <v>1</v>
      </c>
      <c r="E83" s="4">
        <v>226</v>
      </c>
      <c r="F83" s="4">
        <f>ROUND(Source!AW77,O83)</f>
        <v>0</v>
      </c>
      <c r="G83" s="4" t="s">
        <v>62</v>
      </c>
      <c r="H83" s="4" t="s">
        <v>63</v>
      </c>
      <c r="I83" s="4"/>
      <c r="J83" s="4"/>
      <c r="K83" s="4">
        <v>226</v>
      </c>
      <c r="L83" s="4">
        <v>5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3" x14ac:dyDescent="0.2">
      <c r="A84" s="4">
        <v>50</v>
      </c>
      <c r="B84" s="4">
        <v>0</v>
      </c>
      <c r="C84" s="4">
        <v>0</v>
      </c>
      <c r="D84" s="4">
        <v>1</v>
      </c>
      <c r="E84" s="4">
        <v>227</v>
      </c>
      <c r="F84" s="4">
        <f>ROUND(Source!AX77,O84)</f>
        <v>0</v>
      </c>
      <c r="G84" s="4" t="s">
        <v>64</v>
      </c>
      <c r="H84" s="4" t="s">
        <v>65</v>
      </c>
      <c r="I84" s="4"/>
      <c r="J84" s="4"/>
      <c r="K84" s="4">
        <v>227</v>
      </c>
      <c r="L84" s="4">
        <v>6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5" spans="1:23" x14ac:dyDescent="0.2">
      <c r="A85" s="4">
        <v>50</v>
      </c>
      <c r="B85" s="4">
        <v>0</v>
      </c>
      <c r="C85" s="4">
        <v>0</v>
      </c>
      <c r="D85" s="4">
        <v>1</v>
      </c>
      <c r="E85" s="4">
        <v>228</v>
      </c>
      <c r="F85" s="4">
        <f>ROUND(Source!AY77,O85)</f>
        <v>0</v>
      </c>
      <c r="G85" s="4" t="s">
        <v>66</v>
      </c>
      <c r="H85" s="4" t="s">
        <v>67</v>
      </c>
      <c r="I85" s="4"/>
      <c r="J85" s="4"/>
      <c r="K85" s="4">
        <v>228</v>
      </c>
      <c r="L85" s="4">
        <v>7</v>
      </c>
      <c r="M85" s="4">
        <v>3</v>
      </c>
      <c r="N85" s="4" t="s">
        <v>3</v>
      </c>
      <c r="O85" s="4">
        <v>2</v>
      </c>
      <c r="P85" s="4"/>
      <c r="Q85" s="4"/>
      <c r="R85" s="4"/>
      <c r="S85" s="4"/>
      <c r="T85" s="4"/>
      <c r="U85" s="4"/>
      <c r="V85" s="4"/>
      <c r="W85" s="4"/>
    </row>
    <row r="86" spans="1:23" x14ac:dyDescent="0.2">
      <c r="A86" s="4">
        <v>50</v>
      </c>
      <c r="B86" s="4">
        <v>0</v>
      </c>
      <c r="C86" s="4">
        <v>0</v>
      </c>
      <c r="D86" s="4">
        <v>1</v>
      </c>
      <c r="E86" s="4">
        <v>216</v>
      </c>
      <c r="F86" s="4">
        <f>ROUND(Source!AP77,O86)</f>
        <v>0</v>
      </c>
      <c r="G86" s="4" t="s">
        <v>68</v>
      </c>
      <c r="H86" s="4" t="s">
        <v>69</v>
      </c>
      <c r="I86" s="4"/>
      <c r="J86" s="4"/>
      <c r="K86" s="4">
        <v>216</v>
      </c>
      <c r="L86" s="4">
        <v>8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3" x14ac:dyDescent="0.2">
      <c r="A87" s="4">
        <v>50</v>
      </c>
      <c r="B87" s="4">
        <v>0</v>
      </c>
      <c r="C87" s="4">
        <v>0</v>
      </c>
      <c r="D87" s="4">
        <v>1</v>
      </c>
      <c r="E87" s="4">
        <v>223</v>
      </c>
      <c r="F87" s="4">
        <f>ROUND(Source!AQ77,O87)</f>
        <v>0</v>
      </c>
      <c r="G87" s="4" t="s">
        <v>70</v>
      </c>
      <c r="H87" s="4" t="s">
        <v>71</v>
      </c>
      <c r="I87" s="4"/>
      <c r="J87" s="4"/>
      <c r="K87" s="4">
        <v>223</v>
      </c>
      <c r="L87" s="4">
        <v>9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3" x14ac:dyDescent="0.2">
      <c r="A88" s="4">
        <v>50</v>
      </c>
      <c r="B88" s="4">
        <v>0</v>
      </c>
      <c r="C88" s="4">
        <v>0</v>
      </c>
      <c r="D88" s="4">
        <v>1</v>
      </c>
      <c r="E88" s="4">
        <v>229</v>
      </c>
      <c r="F88" s="4">
        <f>ROUND(Source!AZ77,O88)</f>
        <v>0</v>
      </c>
      <c r="G88" s="4" t="s">
        <v>72</v>
      </c>
      <c r="H88" s="4" t="s">
        <v>73</v>
      </c>
      <c r="I88" s="4"/>
      <c r="J88" s="4"/>
      <c r="K88" s="4">
        <v>229</v>
      </c>
      <c r="L88" s="4">
        <v>10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3" x14ac:dyDescent="0.2">
      <c r="A89" s="4">
        <v>50</v>
      </c>
      <c r="B89" s="4">
        <v>0</v>
      </c>
      <c r="C89" s="4">
        <v>0</v>
      </c>
      <c r="D89" s="4">
        <v>1</v>
      </c>
      <c r="E89" s="4">
        <v>203</v>
      </c>
      <c r="F89" s="4">
        <f>ROUND(Source!Q77,O89)</f>
        <v>0</v>
      </c>
      <c r="G89" s="4" t="s">
        <v>74</v>
      </c>
      <c r="H89" s="4" t="s">
        <v>75</v>
      </c>
      <c r="I89" s="4"/>
      <c r="J89" s="4"/>
      <c r="K89" s="4">
        <v>203</v>
      </c>
      <c r="L89" s="4">
        <v>11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3" x14ac:dyDescent="0.2">
      <c r="A90" s="4">
        <v>50</v>
      </c>
      <c r="B90" s="4">
        <v>0</v>
      </c>
      <c r="C90" s="4">
        <v>0</v>
      </c>
      <c r="D90" s="4">
        <v>1</v>
      </c>
      <c r="E90" s="4">
        <v>231</v>
      </c>
      <c r="F90" s="4">
        <f>ROUND(Source!BB77,O90)</f>
        <v>0</v>
      </c>
      <c r="G90" s="4" t="s">
        <v>76</v>
      </c>
      <c r="H90" s="4" t="s">
        <v>77</v>
      </c>
      <c r="I90" s="4"/>
      <c r="J90" s="4"/>
      <c r="K90" s="4">
        <v>231</v>
      </c>
      <c r="L90" s="4">
        <v>12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3" x14ac:dyDescent="0.2">
      <c r="A91" s="4">
        <v>50</v>
      </c>
      <c r="B91" s="4">
        <v>0</v>
      </c>
      <c r="C91" s="4">
        <v>0</v>
      </c>
      <c r="D91" s="4">
        <v>1</v>
      </c>
      <c r="E91" s="4">
        <v>204</v>
      </c>
      <c r="F91" s="4">
        <f>ROUND(Source!R77,O91)</f>
        <v>0</v>
      </c>
      <c r="G91" s="4" t="s">
        <v>78</v>
      </c>
      <c r="H91" s="4" t="s">
        <v>79</v>
      </c>
      <c r="I91" s="4"/>
      <c r="J91" s="4"/>
      <c r="K91" s="4">
        <v>204</v>
      </c>
      <c r="L91" s="4">
        <v>13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3" x14ac:dyDescent="0.2">
      <c r="A92" s="4">
        <v>50</v>
      </c>
      <c r="B92" s="4">
        <v>0</v>
      </c>
      <c r="C92" s="4">
        <v>0</v>
      </c>
      <c r="D92" s="4">
        <v>1</v>
      </c>
      <c r="E92" s="4">
        <v>205</v>
      </c>
      <c r="F92" s="4">
        <f>ROUND(Source!S77,O92)</f>
        <v>81394.710000000006</v>
      </c>
      <c r="G92" s="4" t="s">
        <v>80</v>
      </c>
      <c r="H92" s="4" t="s">
        <v>81</v>
      </c>
      <c r="I92" s="4"/>
      <c r="J92" s="4"/>
      <c r="K92" s="4">
        <v>205</v>
      </c>
      <c r="L92" s="4">
        <v>14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3" x14ac:dyDescent="0.2">
      <c r="A93" s="4">
        <v>50</v>
      </c>
      <c r="B93" s="4">
        <v>0</v>
      </c>
      <c r="C93" s="4">
        <v>0</v>
      </c>
      <c r="D93" s="4">
        <v>1</v>
      </c>
      <c r="E93" s="4">
        <v>232</v>
      </c>
      <c r="F93" s="4">
        <f>ROUND(Source!BC77,O93)</f>
        <v>0</v>
      </c>
      <c r="G93" s="4" t="s">
        <v>82</v>
      </c>
      <c r="H93" s="4" t="s">
        <v>83</v>
      </c>
      <c r="I93" s="4"/>
      <c r="J93" s="4"/>
      <c r="K93" s="4">
        <v>232</v>
      </c>
      <c r="L93" s="4">
        <v>15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3" x14ac:dyDescent="0.2">
      <c r="A94" s="4">
        <v>50</v>
      </c>
      <c r="B94" s="4">
        <v>0</v>
      </c>
      <c r="C94" s="4">
        <v>0</v>
      </c>
      <c r="D94" s="4">
        <v>1</v>
      </c>
      <c r="E94" s="4">
        <v>214</v>
      </c>
      <c r="F94" s="4">
        <f>ROUND(Source!AS77,O94)</f>
        <v>0</v>
      </c>
      <c r="G94" s="4" t="s">
        <v>84</v>
      </c>
      <c r="H94" s="4" t="s">
        <v>85</v>
      </c>
      <c r="I94" s="4"/>
      <c r="J94" s="4"/>
      <c r="K94" s="4">
        <v>214</v>
      </c>
      <c r="L94" s="4">
        <v>16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3" x14ac:dyDescent="0.2">
      <c r="A95" s="4">
        <v>50</v>
      </c>
      <c r="B95" s="4">
        <v>0</v>
      </c>
      <c r="C95" s="4">
        <v>0</v>
      </c>
      <c r="D95" s="4">
        <v>1</v>
      </c>
      <c r="E95" s="4">
        <v>215</v>
      </c>
      <c r="F95" s="4">
        <f>ROUND(Source!AT77,O95)</f>
        <v>0</v>
      </c>
      <c r="G95" s="4" t="s">
        <v>86</v>
      </c>
      <c r="H95" s="4" t="s">
        <v>87</v>
      </c>
      <c r="I95" s="4"/>
      <c r="J95" s="4"/>
      <c r="K95" s="4">
        <v>215</v>
      </c>
      <c r="L95" s="4">
        <v>17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3" x14ac:dyDescent="0.2">
      <c r="A96" s="4">
        <v>50</v>
      </c>
      <c r="B96" s="4">
        <v>0</v>
      </c>
      <c r="C96" s="4">
        <v>0</v>
      </c>
      <c r="D96" s="4">
        <v>1</v>
      </c>
      <c r="E96" s="4">
        <v>217</v>
      </c>
      <c r="F96" s="4">
        <f>ROUND(Source!AU77,O96)</f>
        <v>170114.96</v>
      </c>
      <c r="G96" s="4" t="s">
        <v>88</v>
      </c>
      <c r="H96" s="4" t="s">
        <v>89</v>
      </c>
      <c r="I96" s="4"/>
      <c r="J96" s="4"/>
      <c r="K96" s="4">
        <v>217</v>
      </c>
      <c r="L96" s="4">
        <v>18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45" x14ac:dyDescent="0.2">
      <c r="A97" s="4">
        <v>50</v>
      </c>
      <c r="B97" s="4">
        <v>0</v>
      </c>
      <c r="C97" s="4">
        <v>0</v>
      </c>
      <c r="D97" s="4">
        <v>1</v>
      </c>
      <c r="E97" s="4">
        <v>230</v>
      </c>
      <c r="F97" s="4">
        <f>ROUND(Source!BA77,O97)</f>
        <v>0</v>
      </c>
      <c r="G97" s="4" t="s">
        <v>90</v>
      </c>
      <c r="H97" s="4" t="s">
        <v>91</v>
      </c>
      <c r="I97" s="4"/>
      <c r="J97" s="4"/>
      <c r="K97" s="4">
        <v>230</v>
      </c>
      <c r="L97" s="4">
        <v>19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45" x14ac:dyDescent="0.2">
      <c r="A98" s="4">
        <v>50</v>
      </c>
      <c r="B98" s="4">
        <v>0</v>
      </c>
      <c r="C98" s="4">
        <v>0</v>
      </c>
      <c r="D98" s="4">
        <v>1</v>
      </c>
      <c r="E98" s="4">
        <v>206</v>
      </c>
      <c r="F98" s="4">
        <f>ROUND(Source!T77,O98)</f>
        <v>0</v>
      </c>
      <c r="G98" s="4" t="s">
        <v>92</v>
      </c>
      <c r="H98" s="4" t="s">
        <v>93</v>
      </c>
      <c r="I98" s="4"/>
      <c r="J98" s="4"/>
      <c r="K98" s="4">
        <v>206</v>
      </c>
      <c r="L98" s="4">
        <v>20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45" x14ac:dyDescent="0.2">
      <c r="A99" s="4">
        <v>50</v>
      </c>
      <c r="B99" s="4">
        <v>0</v>
      </c>
      <c r="C99" s="4">
        <v>0</v>
      </c>
      <c r="D99" s="4">
        <v>1</v>
      </c>
      <c r="E99" s="4">
        <v>207</v>
      </c>
      <c r="F99" s="4">
        <f>Source!U77</f>
        <v>209.50800000000001</v>
      </c>
      <c r="G99" s="4" t="s">
        <v>94</v>
      </c>
      <c r="H99" s="4" t="s">
        <v>95</v>
      </c>
      <c r="I99" s="4"/>
      <c r="J99" s="4"/>
      <c r="K99" s="4">
        <v>207</v>
      </c>
      <c r="L99" s="4">
        <v>21</v>
      </c>
      <c r="M99" s="4">
        <v>3</v>
      </c>
      <c r="N99" s="4" t="s">
        <v>3</v>
      </c>
      <c r="O99" s="4">
        <v>-1</v>
      </c>
      <c r="P99" s="4"/>
      <c r="Q99" s="4"/>
      <c r="R99" s="4"/>
      <c r="S99" s="4"/>
      <c r="T99" s="4"/>
      <c r="U99" s="4"/>
      <c r="V99" s="4"/>
      <c r="W99" s="4"/>
    </row>
    <row r="100" spans="1:245" x14ac:dyDescent="0.2">
      <c r="A100" s="4">
        <v>50</v>
      </c>
      <c r="B100" s="4">
        <v>0</v>
      </c>
      <c r="C100" s="4">
        <v>0</v>
      </c>
      <c r="D100" s="4">
        <v>1</v>
      </c>
      <c r="E100" s="4">
        <v>208</v>
      </c>
      <c r="F100" s="4">
        <f>Source!V77</f>
        <v>0</v>
      </c>
      <c r="G100" s="4" t="s">
        <v>96</v>
      </c>
      <c r="H100" s="4" t="s">
        <v>97</v>
      </c>
      <c r="I100" s="4"/>
      <c r="J100" s="4"/>
      <c r="K100" s="4">
        <v>208</v>
      </c>
      <c r="L100" s="4">
        <v>22</v>
      </c>
      <c r="M100" s="4">
        <v>3</v>
      </c>
      <c r="N100" s="4" t="s">
        <v>3</v>
      </c>
      <c r="O100" s="4">
        <v>-1</v>
      </c>
      <c r="P100" s="4"/>
      <c r="Q100" s="4"/>
      <c r="R100" s="4"/>
      <c r="S100" s="4"/>
      <c r="T100" s="4"/>
      <c r="U100" s="4"/>
      <c r="V100" s="4"/>
      <c r="W100" s="4"/>
    </row>
    <row r="101" spans="1:245" x14ac:dyDescent="0.2">
      <c r="A101" s="4">
        <v>50</v>
      </c>
      <c r="B101" s="4">
        <v>0</v>
      </c>
      <c r="C101" s="4">
        <v>0</v>
      </c>
      <c r="D101" s="4">
        <v>1</v>
      </c>
      <c r="E101" s="4">
        <v>209</v>
      </c>
      <c r="F101" s="4">
        <f>ROUND(Source!W77,O101)</f>
        <v>0</v>
      </c>
      <c r="G101" s="4" t="s">
        <v>98</v>
      </c>
      <c r="H101" s="4" t="s">
        <v>99</v>
      </c>
      <c r="I101" s="4"/>
      <c r="J101" s="4"/>
      <c r="K101" s="4">
        <v>209</v>
      </c>
      <c r="L101" s="4">
        <v>23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45" x14ac:dyDescent="0.2">
      <c r="A102" s="4">
        <v>50</v>
      </c>
      <c r="B102" s="4">
        <v>0</v>
      </c>
      <c r="C102" s="4">
        <v>0</v>
      </c>
      <c r="D102" s="4">
        <v>1</v>
      </c>
      <c r="E102" s="4">
        <v>233</v>
      </c>
      <c r="F102" s="4">
        <f>ROUND(Source!BD77,O102)</f>
        <v>0</v>
      </c>
      <c r="G102" s="4" t="s">
        <v>100</v>
      </c>
      <c r="H102" s="4" t="s">
        <v>101</v>
      </c>
      <c r="I102" s="4"/>
      <c r="J102" s="4"/>
      <c r="K102" s="4">
        <v>233</v>
      </c>
      <c r="L102" s="4">
        <v>24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45" x14ac:dyDescent="0.2">
      <c r="A103" s="4">
        <v>50</v>
      </c>
      <c r="B103" s="4">
        <v>0</v>
      </c>
      <c r="C103" s="4">
        <v>0</v>
      </c>
      <c r="D103" s="4">
        <v>1</v>
      </c>
      <c r="E103" s="4">
        <v>210</v>
      </c>
      <c r="F103" s="4">
        <f>ROUND(Source!X77,O103)</f>
        <v>55348.41</v>
      </c>
      <c r="G103" s="4" t="s">
        <v>102</v>
      </c>
      <c r="H103" s="4" t="s">
        <v>103</v>
      </c>
      <c r="I103" s="4"/>
      <c r="J103" s="4"/>
      <c r="K103" s="4">
        <v>210</v>
      </c>
      <c r="L103" s="4">
        <v>25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45" x14ac:dyDescent="0.2">
      <c r="A104" s="4">
        <v>50</v>
      </c>
      <c r="B104" s="4">
        <v>0</v>
      </c>
      <c r="C104" s="4">
        <v>0</v>
      </c>
      <c r="D104" s="4">
        <v>1</v>
      </c>
      <c r="E104" s="4">
        <v>211</v>
      </c>
      <c r="F104" s="4">
        <f>ROUND(Source!Y77,O104)</f>
        <v>33371.839999999997</v>
      </c>
      <c r="G104" s="4" t="s">
        <v>104</v>
      </c>
      <c r="H104" s="4" t="s">
        <v>105</v>
      </c>
      <c r="I104" s="4"/>
      <c r="J104" s="4"/>
      <c r="K104" s="4">
        <v>211</v>
      </c>
      <c r="L104" s="4">
        <v>26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45" x14ac:dyDescent="0.2">
      <c r="A105" s="4">
        <v>50</v>
      </c>
      <c r="B105" s="4">
        <v>0</v>
      </c>
      <c r="C105" s="4">
        <v>0</v>
      </c>
      <c r="D105" s="4">
        <v>1</v>
      </c>
      <c r="E105" s="4">
        <v>224</v>
      </c>
      <c r="F105" s="4">
        <f>ROUND(Source!AR77,O105)</f>
        <v>170114.96</v>
      </c>
      <c r="G105" s="4" t="s">
        <v>106</v>
      </c>
      <c r="H105" s="4" t="s">
        <v>107</v>
      </c>
      <c r="I105" s="4"/>
      <c r="J105" s="4"/>
      <c r="K105" s="4">
        <v>224</v>
      </c>
      <c r="L105" s="4">
        <v>27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7" spans="1:245" x14ac:dyDescent="0.2">
      <c r="A107" s="1">
        <v>4</v>
      </c>
      <c r="B107" s="1">
        <v>1</v>
      </c>
      <c r="C107" s="1"/>
      <c r="D107" s="1">
        <f>ROW(A114)</f>
        <v>114</v>
      </c>
      <c r="E107" s="1"/>
      <c r="F107" s="1" t="s">
        <v>21</v>
      </c>
      <c r="G107" s="1" t="s">
        <v>146</v>
      </c>
      <c r="H107" s="1" t="s">
        <v>3</v>
      </c>
      <c r="I107" s="1">
        <v>0</v>
      </c>
      <c r="J107" s="1"/>
      <c r="K107" s="1">
        <v>-1</v>
      </c>
      <c r="L107" s="1"/>
      <c r="M107" s="1" t="s">
        <v>3</v>
      </c>
      <c r="N107" s="1"/>
      <c r="O107" s="1"/>
      <c r="P107" s="1"/>
      <c r="Q107" s="1"/>
      <c r="R107" s="1"/>
      <c r="S107" s="1">
        <v>0</v>
      </c>
      <c r="T107" s="1"/>
      <c r="U107" s="1" t="s">
        <v>3</v>
      </c>
      <c r="V107" s="1">
        <v>0</v>
      </c>
      <c r="W107" s="1"/>
      <c r="X107" s="1"/>
      <c r="Y107" s="1"/>
      <c r="Z107" s="1"/>
      <c r="AA107" s="1"/>
      <c r="AB107" s="1" t="s">
        <v>3</v>
      </c>
      <c r="AC107" s="1" t="s">
        <v>3</v>
      </c>
      <c r="AD107" s="1" t="s">
        <v>3</v>
      </c>
      <c r="AE107" s="1" t="s">
        <v>3</v>
      </c>
      <c r="AF107" s="1" t="s">
        <v>3</v>
      </c>
      <c r="AG107" s="1" t="s">
        <v>3</v>
      </c>
      <c r="AH107" s="1"/>
      <c r="AI107" s="1"/>
      <c r="AJ107" s="1"/>
      <c r="AK107" s="1"/>
      <c r="AL107" s="1"/>
      <c r="AM107" s="1"/>
      <c r="AN107" s="1"/>
      <c r="AO107" s="1"/>
      <c r="AP107" s="1" t="s">
        <v>3</v>
      </c>
      <c r="AQ107" s="1" t="s">
        <v>3</v>
      </c>
      <c r="AR107" s="1" t="s">
        <v>3</v>
      </c>
      <c r="AS107" s="1"/>
      <c r="AT107" s="1"/>
      <c r="AU107" s="1"/>
      <c r="AV107" s="1"/>
      <c r="AW107" s="1"/>
      <c r="AX107" s="1"/>
      <c r="AY107" s="1"/>
      <c r="AZ107" s="1" t="s">
        <v>3</v>
      </c>
      <c r="BA107" s="1"/>
      <c r="BB107" s="1" t="s">
        <v>3</v>
      </c>
      <c r="BC107" s="1" t="s">
        <v>3</v>
      </c>
      <c r="BD107" s="1" t="s">
        <v>3</v>
      </c>
      <c r="BE107" s="1" t="s">
        <v>3</v>
      </c>
      <c r="BF107" s="1" t="s">
        <v>3</v>
      </c>
      <c r="BG107" s="1" t="s">
        <v>3</v>
      </c>
      <c r="BH107" s="1" t="s">
        <v>3</v>
      </c>
      <c r="BI107" s="1" t="s">
        <v>3</v>
      </c>
      <c r="BJ107" s="1" t="s">
        <v>3</v>
      </c>
      <c r="BK107" s="1" t="s">
        <v>3</v>
      </c>
      <c r="BL107" s="1" t="s">
        <v>3</v>
      </c>
      <c r="BM107" s="1" t="s">
        <v>3</v>
      </c>
      <c r="BN107" s="1" t="s">
        <v>3</v>
      </c>
      <c r="BO107" s="1" t="s">
        <v>3</v>
      </c>
      <c r="BP107" s="1" t="s">
        <v>3</v>
      </c>
      <c r="BQ107" s="1"/>
      <c r="BR107" s="1"/>
      <c r="BS107" s="1"/>
      <c r="BT107" s="1"/>
      <c r="BU107" s="1"/>
      <c r="BV107" s="1"/>
      <c r="BW107" s="1"/>
      <c r="BX107" s="1"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>
        <v>0</v>
      </c>
    </row>
    <row r="109" spans="1:245" x14ac:dyDescent="0.2">
      <c r="A109" s="2">
        <v>52</v>
      </c>
      <c r="B109" s="2">
        <f t="shared" ref="B109:G109" si="102">B114</f>
        <v>1</v>
      </c>
      <c r="C109" s="2">
        <f t="shared" si="102"/>
        <v>4</v>
      </c>
      <c r="D109" s="2">
        <f t="shared" si="102"/>
        <v>107</v>
      </c>
      <c r="E109" s="2">
        <f t="shared" si="102"/>
        <v>0</v>
      </c>
      <c r="F109" s="2" t="str">
        <f t="shared" si="102"/>
        <v>Новый раздел</v>
      </c>
      <c r="G109" s="2" t="str">
        <f t="shared" si="102"/>
        <v>Оборудование и материалы, не учтенные ценником.</v>
      </c>
      <c r="H109" s="2"/>
      <c r="I109" s="2"/>
      <c r="J109" s="2"/>
      <c r="K109" s="2"/>
      <c r="L109" s="2"/>
      <c r="M109" s="2"/>
      <c r="N109" s="2"/>
      <c r="O109" s="2">
        <f t="shared" ref="O109:AT109" si="103">O114</f>
        <v>644009.66</v>
      </c>
      <c r="P109" s="2">
        <f t="shared" si="103"/>
        <v>644009.66</v>
      </c>
      <c r="Q109" s="2">
        <f t="shared" si="103"/>
        <v>0</v>
      </c>
      <c r="R109" s="2">
        <f t="shared" si="103"/>
        <v>0</v>
      </c>
      <c r="S109" s="2">
        <f t="shared" si="103"/>
        <v>0</v>
      </c>
      <c r="T109" s="2">
        <f t="shared" si="103"/>
        <v>0</v>
      </c>
      <c r="U109" s="2">
        <f t="shared" si="103"/>
        <v>0</v>
      </c>
      <c r="V109" s="2">
        <f t="shared" si="103"/>
        <v>0</v>
      </c>
      <c r="W109" s="2">
        <f t="shared" si="103"/>
        <v>0</v>
      </c>
      <c r="X109" s="2">
        <f t="shared" si="103"/>
        <v>0</v>
      </c>
      <c r="Y109" s="2">
        <f t="shared" si="103"/>
        <v>0</v>
      </c>
      <c r="Z109" s="2">
        <f t="shared" si="103"/>
        <v>0</v>
      </c>
      <c r="AA109" s="2">
        <f t="shared" si="103"/>
        <v>0</v>
      </c>
      <c r="AB109" s="2">
        <f t="shared" si="103"/>
        <v>644009.66</v>
      </c>
      <c r="AC109" s="2">
        <f t="shared" si="103"/>
        <v>644009.66</v>
      </c>
      <c r="AD109" s="2">
        <f t="shared" si="103"/>
        <v>0</v>
      </c>
      <c r="AE109" s="2">
        <f t="shared" si="103"/>
        <v>0</v>
      </c>
      <c r="AF109" s="2">
        <f t="shared" si="103"/>
        <v>0</v>
      </c>
      <c r="AG109" s="2">
        <f t="shared" si="103"/>
        <v>0</v>
      </c>
      <c r="AH109" s="2">
        <f t="shared" si="103"/>
        <v>0</v>
      </c>
      <c r="AI109" s="2">
        <f t="shared" si="103"/>
        <v>0</v>
      </c>
      <c r="AJ109" s="2">
        <f t="shared" si="103"/>
        <v>0</v>
      </c>
      <c r="AK109" s="2">
        <f t="shared" si="103"/>
        <v>0</v>
      </c>
      <c r="AL109" s="2">
        <f t="shared" si="103"/>
        <v>0</v>
      </c>
      <c r="AM109" s="2">
        <f t="shared" si="103"/>
        <v>0</v>
      </c>
      <c r="AN109" s="2">
        <f t="shared" si="103"/>
        <v>0</v>
      </c>
      <c r="AO109" s="2">
        <f t="shared" si="103"/>
        <v>0</v>
      </c>
      <c r="AP109" s="2">
        <f t="shared" si="103"/>
        <v>0</v>
      </c>
      <c r="AQ109" s="2">
        <f t="shared" si="103"/>
        <v>0</v>
      </c>
      <c r="AR109" s="2">
        <f t="shared" si="103"/>
        <v>644009.66</v>
      </c>
      <c r="AS109" s="2">
        <f t="shared" si="103"/>
        <v>634413.36</v>
      </c>
      <c r="AT109" s="2">
        <f t="shared" si="103"/>
        <v>9596.2999999999993</v>
      </c>
      <c r="AU109" s="2">
        <f t="shared" ref="AU109:BZ109" si="104">AU114</f>
        <v>0</v>
      </c>
      <c r="AV109" s="2">
        <f t="shared" si="104"/>
        <v>644009.66</v>
      </c>
      <c r="AW109" s="2">
        <f t="shared" si="104"/>
        <v>644009.66</v>
      </c>
      <c r="AX109" s="2">
        <f t="shared" si="104"/>
        <v>0</v>
      </c>
      <c r="AY109" s="2">
        <f t="shared" si="104"/>
        <v>644009.66</v>
      </c>
      <c r="AZ109" s="2">
        <f t="shared" si="104"/>
        <v>0</v>
      </c>
      <c r="BA109" s="2">
        <f t="shared" si="104"/>
        <v>0</v>
      </c>
      <c r="BB109" s="2">
        <f t="shared" si="104"/>
        <v>0</v>
      </c>
      <c r="BC109" s="2">
        <f t="shared" si="104"/>
        <v>0</v>
      </c>
      <c r="BD109" s="2">
        <f t="shared" si="104"/>
        <v>0</v>
      </c>
      <c r="BE109" s="2">
        <f t="shared" si="104"/>
        <v>0</v>
      </c>
      <c r="BF109" s="2">
        <f t="shared" si="104"/>
        <v>0</v>
      </c>
      <c r="BG109" s="2">
        <f t="shared" si="104"/>
        <v>0</v>
      </c>
      <c r="BH109" s="2">
        <f t="shared" si="104"/>
        <v>0</v>
      </c>
      <c r="BI109" s="2">
        <f t="shared" si="104"/>
        <v>0</v>
      </c>
      <c r="BJ109" s="2">
        <f t="shared" si="104"/>
        <v>0</v>
      </c>
      <c r="BK109" s="2">
        <f t="shared" si="104"/>
        <v>0</v>
      </c>
      <c r="BL109" s="2">
        <f t="shared" si="104"/>
        <v>0</v>
      </c>
      <c r="BM109" s="2">
        <f t="shared" si="104"/>
        <v>0</v>
      </c>
      <c r="BN109" s="2">
        <f t="shared" si="104"/>
        <v>0</v>
      </c>
      <c r="BO109" s="2">
        <f t="shared" si="104"/>
        <v>0</v>
      </c>
      <c r="BP109" s="2">
        <f t="shared" si="104"/>
        <v>0</v>
      </c>
      <c r="BQ109" s="2">
        <f t="shared" si="104"/>
        <v>0</v>
      </c>
      <c r="BR109" s="2">
        <f t="shared" si="104"/>
        <v>0</v>
      </c>
      <c r="BS109" s="2">
        <f t="shared" si="104"/>
        <v>0</v>
      </c>
      <c r="BT109" s="2">
        <f t="shared" si="104"/>
        <v>0</v>
      </c>
      <c r="BU109" s="2">
        <f t="shared" si="104"/>
        <v>0</v>
      </c>
      <c r="BV109" s="2">
        <f t="shared" si="104"/>
        <v>0</v>
      </c>
      <c r="BW109" s="2">
        <f t="shared" si="104"/>
        <v>0</v>
      </c>
      <c r="BX109" s="2">
        <f t="shared" si="104"/>
        <v>0</v>
      </c>
      <c r="BY109" s="2">
        <f t="shared" si="104"/>
        <v>0</v>
      </c>
      <c r="BZ109" s="2">
        <f t="shared" si="104"/>
        <v>0</v>
      </c>
      <c r="CA109" s="2">
        <f t="shared" ref="CA109:DF109" si="105">CA114</f>
        <v>644009.66</v>
      </c>
      <c r="CB109" s="2">
        <f t="shared" si="105"/>
        <v>634413.36</v>
      </c>
      <c r="CC109" s="2">
        <f t="shared" si="105"/>
        <v>9596.2999999999993</v>
      </c>
      <c r="CD109" s="2">
        <f t="shared" si="105"/>
        <v>0</v>
      </c>
      <c r="CE109" s="2">
        <f t="shared" si="105"/>
        <v>644009.66</v>
      </c>
      <c r="CF109" s="2">
        <f t="shared" si="105"/>
        <v>644009.66</v>
      </c>
      <c r="CG109" s="2">
        <f t="shared" si="105"/>
        <v>0</v>
      </c>
      <c r="CH109" s="2">
        <f t="shared" si="105"/>
        <v>644009.66</v>
      </c>
      <c r="CI109" s="2">
        <f t="shared" si="105"/>
        <v>0</v>
      </c>
      <c r="CJ109" s="2">
        <f t="shared" si="105"/>
        <v>0</v>
      </c>
      <c r="CK109" s="2">
        <f t="shared" si="105"/>
        <v>0</v>
      </c>
      <c r="CL109" s="2">
        <f t="shared" si="105"/>
        <v>0</v>
      </c>
      <c r="CM109" s="2">
        <f t="shared" si="105"/>
        <v>0</v>
      </c>
      <c r="CN109" s="2">
        <f t="shared" si="105"/>
        <v>0</v>
      </c>
      <c r="CO109" s="2">
        <f t="shared" si="105"/>
        <v>0</v>
      </c>
      <c r="CP109" s="2">
        <f t="shared" si="105"/>
        <v>0</v>
      </c>
      <c r="CQ109" s="2">
        <f t="shared" si="105"/>
        <v>0</v>
      </c>
      <c r="CR109" s="2">
        <f t="shared" si="105"/>
        <v>0</v>
      </c>
      <c r="CS109" s="2">
        <f t="shared" si="105"/>
        <v>0</v>
      </c>
      <c r="CT109" s="2">
        <f t="shared" si="105"/>
        <v>0</v>
      </c>
      <c r="CU109" s="2">
        <f t="shared" si="105"/>
        <v>0</v>
      </c>
      <c r="CV109" s="2">
        <f t="shared" si="105"/>
        <v>0</v>
      </c>
      <c r="CW109" s="2">
        <f t="shared" si="105"/>
        <v>0</v>
      </c>
      <c r="CX109" s="2">
        <f t="shared" si="105"/>
        <v>0</v>
      </c>
      <c r="CY109" s="2">
        <f t="shared" si="105"/>
        <v>0</v>
      </c>
      <c r="CZ109" s="2">
        <f t="shared" si="105"/>
        <v>0</v>
      </c>
      <c r="DA109" s="2">
        <f t="shared" si="105"/>
        <v>0</v>
      </c>
      <c r="DB109" s="2">
        <f t="shared" si="105"/>
        <v>0</v>
      </c>
      <c r="DC109" s="2">
        <f t="shared" si="105"/>
        <v>0</v>
      </c>
      <c r="DD109" s="2">
        <f t="shared" si="105"/>
        <v>0</v>
      </c>
      <c r="DE109" s="2">
        <f t="shared" si="105"/>
        <v>0</v>
      </c>
      <c r="DF109" s="2">
        <f t="shared" si="105"/>
        <v>0</v>
      </c>
      <c r="DG109" s="3">
        <f t="shared" ref="DG109:EL109" si="106">DG114</f>
        <v>0</v>
      </c>
      <c r="DH109" s="3">
        <f t="shared" si="106"/>
        <v>0</v>
      </c>
      <c r="DI109" s="3">
        <f t="shared" si="106"/>
        <v>0</v>
      </c>
      <c r="DJ109" s="3">
        <f t="shared" si="106"/>
        <v>0</v>
      </c>
      <c r="DK109" s="3">
        <f t="shared" si="106"/>
        <v>0</v>
      </c>
      <c r="DL109" s="3">
        <f t="shared" si="106"/>
        <v>0</v>
      </c>
      <c r="DM109" s="3">
        <f t="shared" si="106"/>
        <v>0</v>
      </c>
      <c r="DN109" s="3">
        <f t="shared" si="106"/>
        <v>0</v>
      </c>
      <c r="DO109" s="3">
        <f t="shared" si="106"/>
        <v>0</v>
      </c>
      <c r="DP109" s="3">
        <f t="shared" si="106"/>
        <v>0</v>
      </c>
      <c r="DQ109" s="3">
        <f t="shared" si="106"/>
        <v>0</v>
      </c>
      <c r="DR109" s="3">
        <f t="shared" si="106"/>
        <v>0</v>
      </c>
      <c r="DS109" s="3">
        <f t="shared" si="106"/>
        <v>0</v>
      </c>
      <c r="DT109" s="3">
        <f t="shared" si="106"/>
        <v>0</v>
      </c>
      <c r="DU109" s="3">
        <f t="shared" si="106"/>
        <v>0</v>
      </c>
      <c r="DV109" s="3">
        <f t="shared" si="106"/>
        <v>0</v>
      </c>
      <c r="DW109" s="3">
        <f t="shared" si="106"/>
        <v>0</v>
      </c>
      <c r="DX109" s="3">
        <f t="shared" si="106"/>
        <v>0</v>
      </c>
      <c r="DY109" s="3">
        <f t="shared" si="106"/>
        <v>0</v>
      </c>
      <c r="DZ109" s="3">
        <f t="shared" si="106"/>
        <v>0</v>
      </c>
      <c r="EA109" s="3">
        <f t="shared" si="106"/>
        <v>0</v>
      </c>
      <c r="EB109" s="3">
        <f t="shared" si="106"/>
        <v>0</v>
      </c>
      <c r="EC109" s="3">
        <f t="shared" si="106"/>
        <v>0</v>
      </c>
      <c r="ED109" s="3">
        <f t="shared" si="106"/>
        <v>0</v>
      </c>
      <c r="EE109" s="3">
        <f t="shared" si="106"/>
        <v>0</v>
      </c>
      <c r="EF109" s="3">
        <f t="shared" si="106"/>
        <v>0</v>
      </c>
      <c r="EG109" s="3">
        <f t="shared" si="106"/>
        <v>0</v>
      </c>
      <c r="EH109" s="3">
        <f t="shared" si="106"/>
        <v>0</v>
      </c>
      <c r="EI109" s="3">
        <f t="shared" si="106"/>
        <v>0</v>
      </c>
      <c r="EJ109" s="3">
        <f t="shared" si="106"/>
        <v>0</v>
      </c>
      <c r="EK109" s="3">
        <f t="shared" si="106"/>
        <v>0</v>
      </c>
      <c r="EL109" s="3">
        <f t="shared" si="106"/>
        <v>0</v>
      </c>
      <c r="EM109" s="3">
        <f t="shared" ref="EM109:FR109" si="107">EM114</f>
        <v>0</v>
      </c>
      <c r="EN109" s="3">
        <f t="shared" si="107"/>
        <v>0</v>
      </c>
      <c r="EO109" s="3">
        <f t="shared" si="107"/>
        <v>0</v>
      </c>
      <c r="EP109" s="3">
        <f t="shared" si="107"/>
        <v>0</v>
      </c>
      <c r="EQ109" s="3">
        <f t="shared" si="107"/>
        <v>0</v>
      </c>
      <c r="ER109" s="3">
        <f t="shared" si="107"/>
        <v>0</v>
      </c>
      <c r="ES109" s="3">
        <f t="shared" si="107"/>
        <v>0</v>
      </c>
      <c r="ET109" s="3">
        <f t="shared" si="107"/>
        <v>0</v>
      </c>
      <c r="EU109" s="3">
        <f t="shared" si="107"/>
        <v>0</v>
      </c>
      <c r="EV109" s="3">
        <f t="shared" si="107"/>
        <v>0</v>
      </c>
      <c r="EW109" s="3">
        <f t="shared" si="107"/>
        <v>0</v>
      </c>
      <c r="EX109" s="3">
        <f t="shared" si="107"/>
        <v>0</v>
      </c>
      <c r="EY109" s="3">
        <f t="shared" si="107"/>
        <v>0</v>
      </c>
      <c r="EZ109" s="3">
        <f t="shared" si="107"/>
        <v>0</v>
      </c>
      <c r="FA109" s="3">
        <f t="shared" si="107"/>
        <v>0</v>
      </c>
      <c r="FB109" s="3">
        <f t="shared" si="107"/>
        <v>0</v>
      </c>
      <c r="FC109" s="3">
        <f t="shared" si="107"/>
        <v>0</v>
      </c>
      <c r="FD109" s="3">
        <f t="shared" si="107"/>
        <v>0</v>
      </c>
      <c r="FE109" s="3">
        <f t="shared" si="107"/>
        <v>0</v>
      </c>
      <c r="FF109" s="3">
        <f t="shared" si="107"/>
        <v>0</v>
      </c>
      <c r="FG109" s="3">
        <f t="shared" si="107"/>
        <v>0</v>
      </c>
      <c r="FH109" s="3">
        <f t="shared" si="107"/>
        <v>0</v>
      </c>
      <c r="FI109" s="3">
        <f t="shared" si="107"/>
        <v>0</v>
      </c>
      <c r="FJ109" s="3">
        <f t="shared" si="107"/>
        <v>0</v>
      </c>
      <c r="FK109" s="3">
        <f t="shared" si="107"/>
        <v>0</v>
      </c>
      <c r="FL109" s="3">
        <f t="shared" si="107"/>
        <v>0</v>
      </c>
      <c r="FM109" s="3">
        <f t="shared" si="107"/>
        <v>0</v>
      </c>
      <c r="FN109" s="3">
        <f t="shared" si="107"/>
        <v>0</v>
      </c>
      <c r="FO109" s="3">
        <f t="shared" si="107"/>
        <v>0</v>
      </c>
      <c r="FP109" s="3">
        <f t="shared" si="107"/>
        <v>0</v>
      </c>
      <c r="FQ109" s="3">
        <f t="shared" si="107"/>
        <v>0</v>
      </c>
      <c r="FR109" s="3">
        <f t="shared" si="107"/>
        <v>0</v>
      </c>
      <c r="FS109" s="3">
        <f t="shared" ref="FS109:GX109" si="108">FS114</f>
        <v>0</v>
      </c>
      <c r="FT109" s="3">
        <f t="shared" si="108"/>
        <v>0</v>
      </c>
      <c r="FU109" s="3">
        <f t="shared" si="108"/>
        <v>0</v>
      </c>
      <c r="FV109" s="3">
        <f t="shared" si="108"/>
        <v>0</v>
      </c>
      <c r="FW109" s="3">
        <f t="shared" si="108"/>
        <v>0</v>
      </c>
      <c r="FX109" s="3">
        <f t="shared" si="108"/>
        <v>0</v>
      </c>
      <c r="FY109" s="3">
        <f t="shared" si="108"/>
        <v>0</v>
      </c>
      <c r="FZ109" s="3">
        <f t="shared" si="108"/>
        <v>0</v>
      </c>
      <c r="GA109" s="3">
        <f t="shared" si="108"/>
        <v>0</v>
      </c>
      <c r="GB109" s="3">
        <f t="shared" si="108"/>
        <v>0</v>
      </c>
      <c r="GC109" s="3">
        <f t="shared" si="108"/>
        <v>0</v>
      </c>
      <c r="GD109" s="3">
        <f t="shared" si="108"/>
        <v>0</v>
      </c>
      <c r="GE109" s="3">
        <f t="shared" si="108"/>
        <v>0</v>
      </c>
      <c r="GF109" s="3">
        <f t="shared" si="108"/>
        <v>0</v>
      </c>
      <c r="GG109" s="3">
        <f t="shared" si="108"/>
        <v>0</v>
      </c>
      <c r="GH109" s="3">
        <f t="shared" si="108"/>
        <v>0</v>
      </c>
      <c r="GI109" s="3">
        <f t="shared" si="108"/>
        <v>0</v>
      </c>
      <c r="GJ109" s="3">
        <f t="shared" si="108"/>
        <v>0</v>
      </c>
      <c r="GK109" s="3">
        <f t="shared" si="108"/>
        <v>0</v>
      </c>
      <c r="GL109" s="3">
        <f t="shared" si="108"/>
        <v>0</v>
      </c>
      <c r="GM109" s="3">
        <f t="shared" si="108"/>
        <v>0</v>
      </c>
      <c r="GN109" s="3">
        <f t="shared" si="108"/>
        <v>0</v>
      </c>
      <c r="GO109" s="3">
        <f t="shared" si="108"/>
        <v>0</v>
      </c>
      <c r="GP109" s="3">
        <f t="shared" si="108"/>
        <v>0</v>
      </c>
      <c r="GQ109" s="3">
        <f t="shared" si="108"/>
        <v>0</v>
      </c>
      <c r="GR109" s="3">
        <f t="shared" si="108"/>
        <v>0</v>
      </c>
      <c r="GS109" s="3">
        <f t="shared" si="108"/>
        <v>0</v>
      </c>
      <c r="GT109" s="3">
        <f t="shared" si="108"/>
        <v>0</v>
      </c>
      <c r="GU109" s="3">
        <f t="shared" si="108"/>
        <v>0</v>
      </c>
      <c r="GV109" s="3">
        <f t="shared" si="108"/>
        <v>0</v>
      </c>
      <c r="GW109" s="3">
        <f t="shared" si="108"/>
        <v>0</v>
      </c>
      <c r="GX109" s="3">
        <f t="shared" si="108"/>
        <v>0</v>
      </c>
    </row>
    <row r="111" spans="1:245" x14ac:dyDescent="0.2">
      <c r="A111">
        <v>17</v>
      </c>
      <c r="B111">
        <v>1</v>
      </c>
      <c r="E111" t="s">
        <v>147</v>
      </c>
      <c r="F111" t="s">
        <v>148</v>
      </c>
      <c r="G111" t="s">
        <v>149</v>
      </c>
      <c r="H111" t="s">
        <v>150</v>
      </c>
      <c r="I111">
        <v>1</v>
      </c>
      <c r="J111">
        <v>0</v>
      </c>
      <c r="O111">
        <f>ROUND(CP111,2)</f>
        <v>634413.36</v>
      </c>
      <c r="P111">
        <f>ROUND((ROUND((AC111*AW111*I111),2)*BC111),2)</f>
        <v>634413.36</v>
      </c>
      <c r="Q111">
        <f>(ROUND((ROUND(((ET111)*AV111*I111),2)*BB111),2)+ROUND((ROUND(((AE111-(EU111))*AV111*I111),2)*BS111),2))</f>
        <v>0</v>
      </c>
      <c r="R111">
        <f>ROUND((ROUND((AE111*AV111*I111),2)*BS111),2)</f>
        <v>0</v>
      </c>
      <c r="S111">
        <f>ROUND((ROUND((AF111*AV111*I111),2)*BA111),2)</f>
        <v>0</v>
      </c>
      <c r="T111">
        <f>ROUND(CU111*I111,2)</f>
        <v>0</v>
      </c>
      <c r="U111">
        <f>CV111*I111</f>
        <v>0</v>
      </c>
      <c r="V111">
        <f>CW111*I111</f>
        <v>0</v>
      </c>
      <c r="W111">
        <f>ROUND(CX111*I111,2)</f>
        <v>0</v>
      </c>
      <c r="X111">
        <f>ROUND(CY111,2)</f>
        <v>0</v>
      </c>
      <c r="Y111">
        <f>ROUND(CZ111,2)</f>
        <v>0</v>
      </c>
      <c r="AA111">
        <v>23646166</v>
      </c>
      <c r="AB111">
        <f>ROUND(540908,6)</f>
        <v>540908</v>
      </c>
      <c r="AC111">
        <f>ROUND((ES111),6)</f>
        <v>634413.36</v>
      </c>
      <c r="AD111">
        <f>ROUND((((ET111)-(EU111))+AE111),6)</f>
        <v>0</v>
      </c>
      <c r="AE111">
        <f>ROUND((EU111),6)</f>
        <v>0</v>
      </c>
      <c r="AF111">
        <f>ROUND((EV111),6)</f>
        <v>0</v>
      </c>
      <c r="AG111">
        <f>ROUND((AP111),6)</f>
        <v>0</v>
      </c>
      <c r="AH111">
        <f>(EW111)</f>
        <v>0</v>
      </c>
      <c r="AI111">
        <f>(EX111)</f>
        <v>0</v>
      </c>
      <c r="AJ111">
        <f>(AS111)</f>
        <v>0</v>
      </c>
      <c r="AK111">
        <v>634413.36</v>
      </c>
      <c r="AL111">
        <v>634413.36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v>1</v>
      </c>
      <c r="BD111" t="s">
        <v>3</v>
      </c>
      <c r="BE111" t="s">
        <v>3</v>
      </c>
      <c r="BF111" t="s">
        <v>3</v>
      </c>
      <c r="BG111" t="s">
        <v>3</v>
      </c>
      <c r="BH111">
        <v>3</v>
      </c>
      <c r="BI111">
        <v>1</v>
      </c>
      <c r="BJ111" t="s">
        <v>3</v>
      </c>
      <c r="BM111">
        <v>400002</v>
      </c>
      <c r="BN111">
        <v>0</v>
      </c>
      <c r="BO111" t="s">
        <v>3</v>
      </c>
      <c r="BP111">
        <v>0</v>
      </c>
      <c r="BQ111">
        <v>202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3</v>
      </c>
      <c r="BZ111">
        <v>0</v>
      </c>
      <c r="CA111">
        <v>0</v>
      </c>
      <c r="CE111">
        <v>30</v>
      </c>
      <c r="CF111">
        <v>0</v>
      </c>
      <c r="CG111">
        <v>0</v>
      </c>
      <c r="CM111">
        <v>0</v>
      </c>
      <c r="CN111" t="s">
        <v>3</v>
      </c>
      <c r="CO111">
        <v>0</v>
      </c>
      <c r="CP111">
        <f>(P111+Q111+S111)</f>
        <v>634413.36</v>
      </c>
      <c r="CQ111">
        <f>ROUND((ROUND((AC111*AW111*1),2)*BC111),2)</f>
        <v>634413.36</v>
      </c>
      <c r="CR111">
        <f>(ROUND((ROUND(((ET111)*AV111*1),2)*BB111),2)+ROUND((ROUND(((AE111-(EU111))*AV111*1),2)*BS111),2))</f>
        <v>0</v>
      </c>
      <c r="CS111">
        <f>ROUND((ROUND((AE111*AV111*1),2)*BS111),2)</f>
        <v>0</v>
      </c>
      <c r="CT111">
        <f>ROUND((ROUND((AF111*AV111*1),2)*BA111),2)</f>
        <v>0</v>
      </c>
      <c r="CU111">
        <f>AG111</f>
        <v>0</v>
      </c>
      <c r="CV111">
        <f>(AH111*AV111)</f>
        <v>0</v>
      </c>
      <c r="CW111">
        <f>AI111</f>
        <v>0</v>
      </c>
      <c r="CX111">
        <f>AJ111</f>
        <v>0</v>
      </c>
      <c r="CY111">
        <f>S111*(BZ111/100)</f>
        <v>0</v>
      </c>
      <c r="CZ111">
        <f>S111*(CA111/100)</f>
        <v>0</v>
      </c>
      <c r="DC111" t="s">
        <v>151</v>
      </c>
      <c r="DD111" t="s">
        <v>3</v>
      </c>
      <c r="DE111" t="s">
        <v>3</v>
      </c>
      <c r="DF111" t="s">
        <v>3</v>
      </c>
      <c r="DG111" t="s">
        <v>3</v>
      </c>
      <c r="DH111" t="s">
        <v>3</v>
      </c>
      <c r="DI111" t="s">
        <v>3</v>
      </c>
      <c r="DJ111" t="s">
        <v>3</v>
      </c>
      <c r="DK111" t="s">
        <v>3</v>
      </c>
      <c r="DL111" t="s">
        <v>3</v>
      </c>
      <c r="DM111" t="s">
        <v>3</v>
      </c>
      <c r="DN111">
        <v>0</v>
      </c>
      <c r="DO111">
        <v>0</v>
      </c>
      <c r="DP111">
        <v>1</v>
      </c>
      <c r="DQ111">
        <v>1</v>
      </c>
      <c r="DU111">
        <v>1013</v>
      </c>
      <c r="DV111" t="s">
        <v>150</v>
      </c>
      <c r="DW111" t="s">
        <v>150</v>
      </c>
      <c r="DX111">
        <v>1</v>
      </c>
      <c r="DZ111" t="s">
        <v>3</v>
      </c>
      <c r="EA111" t="s">
        <v>3</v>
      </c>
      <c r="EB111" t="s">
        <v>3</v>
      </c>
      <c r="EC111" t="s">
        <v>3</v>
      </c>
      <c r="EE111">
        <v>22828864</v>
      </c>
      <c r="EF111">
        <v>202</v>
      </c>
      <c r="EG111" t="s">
        <v>152</v>
      </c>
      <c r="EH111">
        <v>0</v>
      </c>
      <c r="EI111" t="s">
        <v>3</v>
      </c>
      <c r="EJ111">
        <v>1</v>
      </c>
      <c r="EK111">
        <v>400002</v>
      </c>
      <c r="EL111" t="s">
        <v>153</v>
      </c>
      <c r="EM111" t="s">
        <v>152</v>
      </c>
      <c r="EO111" t="s">
        <v>3</v>
      </c>
      <c r="EQ111">
        <v>0</v>
      </c>
      <c r="ER111">
        <v>634413.36</v>
      </c>
      <c r="ES111">
        <v>634413.36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5</v>
      </c>
      <c r="FC111">
        <v>0</v>
      </c>
      <c r="FD111">
        <v>18</v>
      </c>
      <c r="FF111">
        <v>634413.36</v>
      </c>
      <c r="FQ111">
        <v>0</v>
      </c>
      <c r="FR111">
        <f>ROUND(IF(AND(BH111=3,BI111=3),P111,0),2)</f>
        <v>0</v>
      </c>
      <c r="FS111">
        <v>0</v>
      </c>
      <c r="FX111">
        <v>0</v>
      </c>
      <c r="FY111">
        <v>0</v>
      </c>
      <c r="GA111" t="s">
        <v>3</v>
      </c>
      <c r="GD111">
        <v>0</v>
      </c>
      <c r="GF111">
        <v>-37557758</v>
      </c>
      <c r="GG111">
        <v>2</v>
      </c>
      <c r="GH111">
        <v>3</v>
      </c>
      <c r="GI111">
        <v>-2</v>
      </c>
      <c r="GJ111">
        <v>0</v>
      </c>
      <c r="GK111">
        <f>ROUND(R111*(R12)/100,2)</f>
        <v>0</v>
      </c>
      <c r="GL111">
        <f>ROUND(IF(AND(BH111=3,BI111=3,FS111&lt;&gt;0),P111,0),2)</f>
        <v>0</v>
      </c>
      <c r="GM111">
        <f>ROUND(O111+X111+Y111+GK111,2)+GX111</f>
        <v>634413.36</v>
      </c>
      <c r="GN111">
        <f>IF(OR(BI111=0,BI111=1),ROUND(O111+X111+Y111+GK111,2),0)</f>
        <v>634413.36</v>
      </c>
      <c r="GO111">
        <f>IF(BI111=2,ROUND(O111+X111+Y111+GK111,2),0)</f>
        <v>0</v>
      </c>
      <c r="GP111">
        <f>IF(BI111=4,ROUND(O111+X111+Y111+GK111,2)+GX111,0)</f>
        <v>0</v>
      </c>
      <c r="GR111">
        <v>1</v>
      </c>
      <c r="GS111">
        <v>1</v>
      </c>
      <c r="GT111">
        <v>0</v>
      </c>
      <c r="GU111" t="s">
        <v>3</v>
      </c>
      <c r="GV111">
        <f>ROUND((GT111),6)</f>
        <v>0</v>
      </c>
      <c r="GW111">
        <v>1</v>
      </c>
      <c r="GX111">
        <f>ROUND(HC111*I111,2)</f>
        <v>0</v>
      </c>
      <c r="HA111">
        <v>0</v>
      </c>
      <c r="HB111">
        <v>0</v>
      </c>
      <c r="HC111">
        <f>GV111*GW111</f>
        <v>0</v>
      </c>
      <c r="HE111" t="s">
        <v>3</v>
      </c>
      <c r="HF111" t="s">
        <v>3</v>
      </c>
      <c r="IK111">
        <v>0</v>
      </c>
    </row>
    <row r="112" spans="1:245" x14ac:dyDescent="0.2">
      <c r="A112">
        <v>17</v>
      </c>
      <c r="B112">
        <v>1</v>
      </c>
      <c r="E112" t="s">
        <v>154</v>
      </c>
      <c r="F112" t="s">
        <v>155</v>
      </c>
      <c r="G112" t="s">
        <v>156</v>
      </c>
      <c r="H112" t="s">
        <v>41</v>
      </c>
      <c r="I112">
        <v>4.3999999999999997E-2</v>
      </c>
      <c r="J112">
        <v>0</v>
      </c>
      <c r="O112">
        <f>ROUND(CP112,2)</f>
        <v>9596.2999999999993</v>
      </c>
      <c r="P112">
        <f>ROUND((ROUND((AC112*AW112*I112),2)*BC112),2)</f>
        <v>9596.2999999999993</v>
      </c>
      <c r="Q112">
        <f>(ROUND((ROUND(((ET112)*AV112*I112),2)*BB112),2)+ROUND((ROUND(((AE112-(EU112))*AV112*I112),2)*BS112),2))</f>
        <v>0</v>
      </c>
      <c r="R112">
        <f>ROUND((ROUND((AE112*AV112*I112),2)*BS112),2)</f>
        <v>0</v>
      </c>
      <c r="S112">
        <f>ROUND((ROUND((AF112*AV112*I112),2)*BA112),2)</f>
        <v>0</v>
      </c>
      <c r="T112">
        <f>ROUND(CU112*I112,2)</f>
        <v>0</v>
      </c>
      <c r="U112">
        <f>CV112*I112</f>
        <v>0</v>
      </c>
      <c r="V112">
        <f>CW112*I112</f>
        <v>0</v>
      </c>
      <c r="W112">
        <f>ROUND(CX112*I112,2)</f>
        <v>0</v>
      </c>
      <c r="X112">
        <f>ROUND(CY112,2)</f>
        <v>0</v>
      </c>
      <c r="Y112">
        <f>ROUND(CZ112,2)</f>
        <v>0</v>
      </c>
      <c r="AA112">
        <v>23646166</v>
      </c>
      <c r="AB112">
        <f>ROUND((AC112+AD112+AF112),6)</f>
        <v>31290.95</v>
      </c>
      <c r="AC112">
        <f>ROUND((ES112),6)</f>
        <v>31290.95</v>
      </c>
      <c r="AD112">
        <f>ROUND((((ET112)-(EU112))+AE112),6)</f>
        <v>0</v>
      </c>
      <c r="AE112">
        <f>ROUND((EU112),6)</f>
        <v>0</v>
      </c>
      <c r="AF112">
        <f>ROUND((EV112),6)</f>
        <v>0</v>
      </c>
      <c r="AG112">
        <f>ROUND((AP112),6)</f>
        <v>0</v>
      </c>
      <c r="AH112">
        <f>(EW112)</f>
        <v>0</v>
      </c>
      <c r="AI112">
        <f>(EX112)</f>
        <v>0</v>
      </c>
      <c r="AJ112">
        <f>(AS112)</f>
        <v>0</v>
      </c>
      <c r="AK112">
        <v>31290.95</v>
      </c>
      <c r="AL112">
        <v>31290.95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1</v>
      </c>
      <c r="AW112">
        <v>1</v>
      </c>
      <c r="AZ112">
        <v>1</v>
      </c>
      <c r="BA112">
        <v>1</v>
      </c>
      <c r="BB112">
        <v>1</v>
      </c>
      <c r="BC112">
        <v>6.97</v>
      </c>
      <c r="BD112" t="s">
        <v>3</v>
      </c>
      <c r="BE112" t="s">
        <v>3</v>
      </c>
      <c r="BF112" t="s">
        <v>3</v>
      </c>
      <c r="BG112" t="s">
        <v>3</v>
      </c>
      <c r="BH112">
        <v>3</v>
      </c>
      <c r="BI112">
        <v>2</v>
      </c>
      <c r="BJ112" t="s">
        <v>157</v>
      </c>
      <c r="BM112">
        <v>1618</v>
      </c>
      <c r="BN112">
        <v>0</v>
      </c>
      <c r="BO112" t="s">
        <v>155</v>
      </c>
      <c r="BP112">
        <v>1</v>
      </c>
      <c r="BQ112">
        <v>201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Y112" t="s">
        <v>3</v>
      </c>
      <c r="BZ112">
        <v>0</v>
      </c>
      <c r="CA112">
        <v>0</v>
      </c>
      <c r="CE112">
        <v>30</v>
      </c>
      <c r="CF112">
        <v>0</v>
      </c>
      <c r="CG112">
        <v>0</v>
      </c>
      <c r="CM112">
        <v>0</v>
      </c>
      <c r="CN112" t="s">
        <v>3</v>
      </c>
      <c r="CO112">
        <v>0</v>
      </c>
      <c r="CP112">
        <f>(P112+Q112+S112)</f>
        <v>9596.2999999999993</v>
      </c>
      <c r="CQ112">
        <f>ROUND((ROUND((AC112*AW112*1),2)*BC112),2)</f>
        <v>218097.92000000001</v>
      </c>
      <c r="CR112">
        <f>(ROUND((ROUND(((ET112)*AV112*1),2)*BB112),2)+ROUND((ROUND(((AE112-(EU112))*AV112*1),2)*BS112),2))</f>
        <v>0</v>
      </c>
      <c r="CS112">
        <f>ROUND((ROUND((AE112*AV112*1),2)*BS112),2)</f>
        <v>0</v>
      </c>
      <c r="CT112">
        <f>ROUND((ROUND((AF112*AV112*1),2)*BA112),2)</f>
        <v>0</v>
      </c>
      <c r="CU112">
        <f>AG112</f>
        <v>0</v>
      </c>
      <c r="CV112">
        <f>(AH112*AV112)</f>
        <v>0</v>
      </c>
      <c r="CW112">
        <f>AI112</f>
        <v>0</v>
      </c>
      <c r="CX112">
        <f>AJ112</f>
        <v>0</v>
      </c>
      <c r="CY112">
        <f>S112*(BZ112/100)</f>
        <v>0</v>
      </c>
      <c r="CZ112">
        <f>S112*(CA112/100)</f>
        <v>0</v>
      </c>
      <c r="DC112" t="s">
        <v>3</v>
      </c>
      <c r="DD112" t="s">
        <v>3</v>
      </c>
      <c r="DE112" t="s">
        <v>3</v>
      </c>
      <c r="DF112" t="s">
        <v>3</v>
      </c>
      <c r="DG112" t="s">
        <v>3</v>
      </c>
      <c r="DH112" t="s">
        <v>3</v>
      </c>
      <c r="DI112" t="s">
        <v>3</v>
      </c>
      <c r="DJ112" t="s">
        <v>3</v>
      </c>
      <c r="DK112" t="s">
        <v>3</v>
      </c>
      <c r="DL112" t="s">
        <v>3</v>
      </c>
      <c r="DM112" t="s">
        <v>3</v>
      </c>
      <c r="DN112">
        <v>0</v>
      </c>
      <c r="DO112">
        <v>0</v>
      </c>
      <c r="DP112">
        <v>1</v>
      </c>
      <c r="DQ112">
        <v>1</v>
      </c>
      <c r="DU112">
        <v>1009</v>
      </c>
      <c r="DV112" t="s">
        <v>41</v>
      </c>
      <c r="DW112" t="s">
        <v>41</v>
      </c>
      <c r="DX112">
        <v>1000</v>
      </c>
      <c r="DZ112" t="s">
        <v>3</v>
      </c>
      <c r="EA112" t="s">
        <v>3</v>
      </c>
      <c r="EB112" t="s">
        <v>3</v>
      </c>
      <c r="EC112" t="s">
        <v>3</v>
      </c>
      <c r="EE112">
        <v>22828459</v>
      </c>
      <c r="EF112">
        <v>201</v>
      </c>
      <c r="EG112" t="s">
        <v>158</v>
      </c>
      <c r="EH112">
        <v>0</v>
      </c>
      <c r="EI112" t="s">
        <v>3</v>
      </c>
      <c r="EJ112">
        <v>2</v>
      </c>
      <c r="EK112">
        <v>1618</v>
      </c>
      <c r="EL112" t="s">
        <v>159</v>
      </c>
      <c r="EM112" t="s">
        <v>160</v>
      </c>
      <c r="EO112" t="s">
        <v>3</v>
      </c>
      <c r="EQ112">
        <v>0</v>
      </c>
      <c r="ER112">
        <v>31290.95</v>
      </c>
      <c r="ES112">
        <v>31290.95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FQ112">
        <v>0</v>
      </c>
      <c r="FR112">
        <f>ROUND(IF(AND(BH112=3,BI112=3),P112,0),2)</f>
        <v>0</v>
      </c>
      <c r="FS112">
        <v>0</v>
      </c>
      <c r="FX112">
        <v>0</v>
      </c>
      <c r="FY112">
        <v>0</v>
      </c>
      <c r="GA112" t="s">
        <v>3</v>
      </c>
      <c r="GD112">
        <v>0</v>
      </c>
      <c r="GF112">
        <v>-19701161</v>
      </c>
      <c r="GG112">
        <v>2</v>
      </c>
      <c r="GH112">
        <v>1</v>
      </c>
      <c r="GI112">
        <v>2</v>
      </c>
      <c r="GJ112">
        <v>0</v>
      </c>
      <c r="GK112">
        <f>ROUND(R112*(R12)/100,2)</f>
        <v>0</v>
      </c>
      <c r="GL112">
        <f>ROUND(IF(AND(BH112=3,BI112=3,FS112&lt;&gt;0),P112,0),2)</f>
        <v>0</v>
      </c>
      <c r="GM112">
        <f>ROUND(O112+X112+Y112+GK112,2)+GX112</f>
        <v>9596.2999999999993</v>
      </c>
      <c r="GN112">
        <f>IF(OR(BI112=0,BI112=1),ROUND(O112+X112+Y112+GK112,2),0)</f>
        <v>0</v>
      </c>
      <c r="GO112">
        <f>IF(BI112=2,ROUND(O112+X112+Y112+GK112,2),0)</f>
        <v>9596.2999999999993</v>
      </c>
      <c r="GP112">
        <f>IF(BI112=4,ROUND(O112+X112+Y112+GK112,2)+GX112,0)</f>
        <v>0</v>
      </c>
      <c r="GR112">
        <v>0</v>
      </c>
      <c r="GS112">
        <v>0</v>
      </c>
      <c r="GT112">
        <v>0</v>
      </c>
      <c r="GU112" t="s">
        <v>3</v>
      </c>
      <c r="GV112">
        <f>ROUND((GT112),6)</f>
        <v>0</v>
      </c>
      <c r="GW112">
        <v>1</v>
      </c>
      <c r="GX112">
        <f>ROUND(HC112*I112,2)</f>
        <v>0</v>
      </c>
      <c r="HA112">
        <v>0</v>
      </c>
      <c r="HB112">
        <v>0</v>
      </c>
      <c r="HC112">
        <f>GV112*GW112</f>
        <v>0</v>
      </c>
      <c r="HE112" t="s">
        <v>3</v>
      </c>
      <c r="HF112" t="s">
        <v>3</v>
      </c>
      <c r="IK112">
        <v>0</v>
      </c>
    </row>
    <row r="114" spans="1:206" x14ac:dyDescent="0.2">
      <c r="A114" s="2">
        <v>51</v>
      </c>
      <c r="B114" s="2">
        <f>B107</f>
        <v>1</v>
      </c>
      <c r="C114" s="2">
        <f>A107</f>
        <v>4</v>
      </c>
      <c r="D114" s="2">
        <f>ROW(A107)</f>
        <v>107</v>
      </c>
      <c r="E114" s="2"/>
      <c r="F114" s="2" t="str">
        <f>IF(F107&lt;&gt;"",F107,"")</f>
        <v>Новый раздел</v>
      </c>
      <c r="G114" s="2" t="str">
        <f>IF(G107&lt;&gt;"",G107,"")</f>
        <v>Оборудование и материалы, не учтенные ценником.</v>
      </c>
      <c r="H114" s="2">
        <v>0</v>
      </c>
      <c r="I114" s="2"/>
      <c r="J114" s="2"/>
      <c r="K114" s="2"/>
      <c r="L114" s="2"/>
      <c r="M114" s="2"/>
      <c r="N114" s="2"/>
      <c r="O114" s="2">
        <f t="shared" ref="O114:T114" si="109">ROUND(AB114,2)</f>
        <v>644009.66</v>
      </c>
      <c r="P114" s="2">
        <f t="shared" si="109"/>
        <v>644009.66</v>
      </c>
      <c r="Q114" s="2">
        <f t="shared" si="109"/>
        <v>0</v>
      </c>
      <c r="R114" s="2">
        <f t="shared" si="109"/>
        <v>0</v>
      </c>
      <c r="S114" s="2">
        <f t="shared" si="109"/>
        <v>0</v>
      </c>
      <c r="T114" s="2">
        <f t="shared" si="109"/>
        <v>0</v>
      </c>
      <c r="U114" s="2">
        <f>AH114</f>
        <v>0</v>
      </c>
      <c r="V114" s="2">
        <f>AI114</f>
        <v>0</v>
      </c>
      <c r="W114" s="2">
        <f>ROUND(AJ114,2)</f>
        <v>0</v>
      </c>
      <c r="X114" s="2">
        <f>ROUND(AK114,2)</f>
        <v>0</v>
      </c>
      <c r="Y114" s="2">
        <f>ROUND(AL114,2)</f>
        <v>0</v>
      </c>
      <c r="Z114" s="2"/>
      <c r="AA114" s="2"/>
      <c r="AB114" s="2">
        <f>ROUND(SUMIF(AA111:AA112,"=23646166",O111:O112),2)</f>
        <v>644009.66</v>
      </c>
      <c r="AC114" s="2">
        <f>ROUND(SUMIF(AA111:AA112,"=23646166",P111:P112),2)</f>
        <v>644009.66</v>
      </c>
      <c r="AD114" s="2">
        <f>ROUND(SUMIF(AA111:AA112,"=23646166",Q111:Q112),2)</f>
        <v>0</v>
      </c>
      <c r="AE114" s="2">
        <f>ROUND(SUMIF(AA111:AA112,"=23646166",R111:R112),2)</f>
        <v>0</v>
      </c>
      <c r="AF114" s="2">
        <f>ROUND(SUMIF(AA111:AA112,"=23646166",S111:S112),2)</f>
        <v>0</v>
      </c>
      <c r="AG114" s="2">
        <f>ROUND(SUMIF(AA111:AA112,"=23646166",T111:T112),2)</f>
        <v>0</v>
      </c>
      <c r="AH114" s="2">
        <f>SUMIF(AA111:AA112,"=23646166",U111:U112)</f>
        <v>0</v>
      </c>
      <c r="AI114" s="2">
        <f>SUMIF(AA111:AA112,"=23646166",V111:V112)</f>
        <v>0</v>
      </c>
      <c r="AJ114" s="2">
        <f>ROUND(SUMIF(AA111:AA112,"=23646166",W111:W112),2)</f>
        <v>0</v>
      </c>
      <c r="AK114" s="2">
        <f>ROUND(SUMIF(AA111:AA112,"=23646166",X111:X112),2)</f>
        <v>0</v>
      </c>
      <c r="AL114" s="2">
        <f>ROUND(SUMIF(AA111:AA112,"=23646166",Y111:Y112),2)</f>
        <v>0</v>
      </c>
      <c r="AM114" s="2"/>
      <c r="AN114" s="2"/>
      <c r="AO114" s="2">
        <f t="shared" ref="AO114:BD114" si="110">ROUND(BX114,2)</f>
        <v>0</v>
      </c>
      <c r="AP114" s="2">
        <f t="shared" si="110"/>
        <v>0</v>
      </c>
      <c r="AQ114" s="2">
        <f t="shared" si="110"/>
        <v>0</v>
      </c>
      <c r="AR114" s="2">
        <f t="shared" si="110"/>
        <v>644009.66</v>
      </c>
      <c r="AS114" s="2">
        <f t="shared" si="110"/>
        <v>634413.36</v>
      </c>
      <c r="AT114" s="2">
        <f t="shared" si="110"/>
        <v>9596.2999999999993</v>
      </c>
      <c r="AU114" s="2">
        <f t="shared" si="110"/>
        <v>0</v>
      </c>
      <c r="AV114" s="2">
        <f t="shared" si="110"/>
        <v>644009.66</v>
      </c>
      <c r="AW114" s="2">
        <f t="shared" si="110"/>
        <v>644009.66</v>
      </c>
      <c r="AX114" s="2">
        <f t="shared" si="110"/>
        <v>0</v>
      </c>
      <c r="AY114" s="2">
        <f t="shared" si="110"/>
        <v>644009.66</v>
      </c>
      <c r="AZ114" s="2">
        <f t="shared" si="110"/>
        <v>0</v>
      </c>
      <c r="BA114" s="2">
        <f t="shared" si="110"/>
        <v>0</v>
      </c>
      <c r="BB114" s="2">
        <f t="shared" si="110"/>
        <v>0</v>
      </c>
      <c r="BC114" s="2">
        <f t="shared" si="110"/>
        <v>0</v>
      </c>
      <c r="BD114" s="2">
        <f t="shared" si="110"/>
        <v>0</v>
      </c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>
        <f>ROUND(SUMIF(AA111:AA112,"=23646166",FQ111:FQ112),2)</f>
        <v>0</v>
      </c>
      <c r="BY114" s="2">
        <f>ROUND(SUMIF(AA111:AA112,"=23646166",FR111:FR112),2)</f>
        <v>0</v>
      </c>
      <c r="BZ114" s="2">
        <f>ROUND(SUMIF(AA111:AA112,"=23646166",GL111:GL112),2)</f>
        <v>0</v>
      </c>
      <c r="CA114" s="2">
        <f>ROUND(SUMIF(AA111:AA112,"=23646166",GM111:GM112),2)</f>
        <v>644009.66</v>
      </c>
      <c r="CB114" s="2">
        <f>ROUND(SUMIF(AA111:AA112,"=23646166",GN111:GN112),2)</f>
        <v>634413.36</v>
      </c>
      <c r="CC114" s="2">
        <f>ROUND(SUMIF(AA111:AA112,"=23646166",GO111:GO112),2)</f>
        <v>9596.2999999999993</v>
      </c>
      <c r="CD114" s="2">
        <f>ROUND(SUMIF(AA111:AA112,"=23646166",GP111:GP112),2)</f>
        <v>0</v>
      </c>
      <c r="CE114" s="2">
        <f>AC114-BX114</f>
        <v>644009.66</v>
      </c>
      <c r="CF114" s="2">
        <f>AC114-BY114</f>
        <v>644009.66</v>
      </c>
      <c r="CG114" s="2">
        <f>BX114-BZ114</f>
        <v>0</v>
      </c>
      <c r="CH114" s="2">
        <f>AC114-BX114-BY114+BZ114</f>
        <v>644009.66</v>
      </c>
      <c r="CI114" s="2">
        <f>BY114-BZ114</f>
        <v>0</v>
      </c>
      <c r="CJ114" s="2">
        <f>ROUND(SUMIF(AA111:AA112,"=23646166",GX111:GX112),2)</f>
        <v>0</v>
      </c>
      <c r="CK114" s="2">
        <f>ROUND(SUMIF(AA111:AA112,"=23646166",GY111:GY112),2)</f>
        <v>0</v>
      </c>
      <c r="CL114" s="2">
        <f>ROUND(SUMIF(AA111:AA112,"=23646166",GZ111:GZ112),2)</f>
        <v>0</v>
      </c>
      <c r="CM114" s="2">
        <f>ROUND(SUMIF(AA111:AA112,"=23646166",HD111:HD112),2)</f>
        <v>0</v>
      </c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>
        <v>0</v>
      </c>
    </row>
    <row r="116" spans="1:206" x14ac:dyDescent="0.2">
      <c r="A116" s="4">
        <v>50</v>
      </c>
      <c r="B116" s="4">
        <v>0</v>
      </c>
      <c r="C116" s="4">
        <v>0</v>
      </c>
      <c r="D116" s="4">
        <v>1</v>
      </c>
      <c r="E116" s="4">
        <v>201</v>
      </c>
      <c r="F116" s="4">
        <f>ROUND(Source!O114,O116)</f>
        <v>644009.66</v>
      </c>
      <c r="G116" s="4" t="s">
        <v>54</v>
      </c>
      <c r="H116" s="4" t="s">
        <v>55</v>
      </c>
      <c r="I116" s="4"/>
      <c r="J116" s="4"/>
      <c r="K116" s="4">
        <v>201</v>
      </c>
      <c r="L116" s="4">
        <v>1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06" x14ac:dyDescent="0.2">
      <c r="A117" s="4">
        <v>50</v>
      </c>
      <c r="B117" s="4">
        <v>0</v>
      </c>
      <c r="C117" s="4">
        <v>0</v>
      </c>
      <c r="D117" s="4">
        <v>1</v>
      </c>
      <c r="E117" s="4">
        <v>202</v>
      </c>
      <c r="F117" s="4">
        <f>ROUND(Source!P114,O117)</f>
        <v>644009.66</v>
      </c>
      <c r="G117" s="4" t="s">
        <v>56</v>
      </c>
      <c r="H117" s="4" t="s">
        <v>57</v>
      </c>
      <c r="I117" s="4"/>
      <c r="J117" s="4"/>
      <c r="K117" s="4">
        <v>202</v>
      </c>
      <c r="L117" s="4">
        <v>2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06" x14ac:dyDescent="0.2">
      <c r="A118" s="4">
        <v>50</v>
      </c>
      <c r="B118" s="4">
        <v>0</v>
      </c>
      <c r="C118" s="4">
        <v>0</v>
      </c>
      <c r="D118" s="4">
        <v>1</v>
      </c>
      <c r="E118" s="4">
        <v>222</v>
      </c>
      <c r="F118" s="4">
        <f>ROUND(Source!AO114,O118)</f>
        <v>0</v>
      </c>
      <c r="G118" s="4" t="s">
        <v>58</v>
      </c>
      <c r="H118" s="4" t="s">
        <v>59</v>
      </c>
      <c r="I118" s="4"/>
      <c r="J118" s="4"/>
      <c r="K118" s="4">
        <v>222</v>
      </c>
      <c r="L118" s="4">
        <v>3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19" spans="1:206" x14ac:dyDescent="0.2">
      <c r="A119" s="4">
        <v>50</v>
      </c>
      <c r="B119" s="4">
        <v>0</v>
      </c>
      <c r="C119" s="4">
        <v>0</v>
      </c>
      <c r="D119" s="4">
        <v>1</v>
      </c>
      <c r="E119" s="4">
        <v>225</v>
      </c>
      <c r="F119" s="4">
        <f>ROUND(Source!AV114,O119)</f>
        <v>644009.66</v>
      </c>
      <c r="G119" s="4" t="s">
        <v>60</v>
      </c>
      <c r="H119" s="4" t="s">
        <v>61</v>
      </c>
      <c r="I119" s="4"/>
      <c r="J119" s="4"/>
      <c r="K119" s="4">
        <v>225</v>
      </c>
      <c r="L119" s="4">
        <v>4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06" x14ac:dyDescent="0.2">
      <c r="A120" s="4">
        <v>50</v>
      </c>
      <c r="B120" s="4">
        <v>0</v>
      </c>
      <c r="C120" s="4">
        <v>0</v>
      </c>
      <c r="D120" s="4">
        <v>1</v>
      </c>
      <c r="E120" s="4">
        <v>226</v>
      </c>
      <c r="F120" s="4">
        <f>ROUND(Source!AW114,O120)</f>
        <v>644009.66</v>
      </c>
      <c r="G120" s="4" t="s">
        <v>62</v>
      </c>
      <c r="H120" s="4" t="s">
        <v>63</v>
      </c>
      <c r="I120" s="4"/>
      <c r="J120" s="4"/>
      <c r="K120" s="4">
        <v>226</v>
      </c>
      <c r="L120" s="4">
        <v>5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06" x14ac:dyDescent="0.2">
      <c r="A121" s="4">
        <v>50</v>
      </c>
      <c r="B121" s="4">
        <v>0</v>
      </c>
      <c r="C121" s="4">
        <v>0</v>
      </c>
      <c r="D121" s="4">
        <v>1</v>
      </c>
      <c r="E121" s="4">
        <v>227</v>
      </c>
      <c r="F121" s="4">
        <f>ROUND(Source!AX114,O121)</f>
        <v>0</v>
      </c>
      <c r="G121" s="4" t="s">
        <v>64</v>
      </c>
      <c r="H121" s="4" t="s">
        <v>65</v>
      </c>
      <c r="I121" s="4"/>
      <c r="J121" s="4"/>
      <c r="K121" s="4">
        <v>227</v>
      </c>
      <c r="L121" s="4">
        <v>6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06" x14ac:dyDescent="0.2">
      <c r="A122" s="4">
        <v>50</v>
      </c>
      <c r="B122" s="4">
        <v>0</v>
      </c>
      <c r="C122" s="4">
        <v>0</v>
      </c>
      <c r="D122" s="4">
        <v>1</v>
      </c>
      <c r="E122" s="4">
        <v>228</v>
      </c>
      <c r="F122" s="4">
        <f>ROUND(Source!AY114,O122)</f>
        <v>644009.66</v>
      </c>
      <c r="G122" s="4" t="s">
        <v>66</v>
      </c>
      <c r="H122" s="4" t="s">
        <v>67</v>
      </c>
      <c r="I122" s="4"/>
      <c r="J122" s="4"/>
      <c r="K122" s="4">
        <v>228</v>
      </c>
      <c r="L122" s="4">
        <v>7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/>
    </row>
    <row r="123" spans="1:206" x14ac:dyDescent="0.2">
      <c r="A123" s="4">
        <v>50</v>
      </c>
      <c r="B123" s="4">
        <v>0</v>
      </c>
      <c r="C123" s="4">
        <v>0</v>
      </c>
      <c r="D123" s="4">
        <v>1</v>
      </c>
      <c r="E123" s="4">
        <v>216</v>
      </c>
      <c r="F123" s="4">
        <f>ROUND(Source!AP114,O123)</f>
        <v>0</v>
      </c>
      <c r="G123" s="4" t="s">
        <v>68</v>
      </c>
      <c r="H123" s="4" t="s">
        <v>69</v>
      </c>
      <c r="I123" s="4"/>
      <c r="J123" s="4"/>
      <c r="K123" s="4">
        <v>216</v>
      </c>
      <c r="L123" s="4">
        <v>8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/>
    </row>
    <row r="124" spans="1:206" x14ac:dyDescent="0.2">
      <c r="A124" s="4">
        <v>50</v>
      </c>
      <c r="B124" s="4">
        <v>0</v>
      </c>
      <c r="C124" s="4">
        <v>0</v>
      </c>
      <c r="D124" s="4">
        <v>1</v>
      </c>
      <c r="E124" s="4">
        <v>223</v>
      </c>
      <c r="F124" s="4">
        <f>ROUND(Source!AQ114,O124)</f>
        <v>0</v>
      </c>
      <c r="G124" s="4" t="s">
        <v>70</v>
      </c>
      <c r="H124" s="4" t="s">
        <v>71</v>
      </c>
      <c r="I124" s="4"/>
      <c r="J124" s="4"/>
      <c r="K124" s="4">
        <v>223</v>
      </c>
      <c r="L124" s="4">
        <v>9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/>
    </row>
    <row r="125" spans="1:206" x14ac:dyDescent="0.2">
      <c r="A125" s="4">
        <v>50</v>
      </c>
      <c r="B125" s="4">
        <v>0</v>
      </c>
      <c r="C125" s="4">
        <v>0</v>
      </c>
      <c r="D125" s="4">
        <v>1</v>
      </c>
      <c r="E125" s="4">
        <v>229</v>
      </c>
      <c r="F125" s="4">
        <f>ROUND(Source!AZ114,O125)</f>
        <v>0</v>
      </c>
      <c r="G125" s="4" t="s">
        <v>72</v>
      </c>
      <c r="H125" s="4" t="s">
        <v>73</v>
      </c>
      <c r="I125" s="4"/>
      <c r="J125" s="4"/>
      <c r="K125" s="4">
        <v>229</v>
      </c>
      <c r="L125" s="4">
        <v>10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06" x14ac:dyDescent="0.2">
      <c r="A126" s="4">
        <v>50</v>
      </c>
      <c r="B126" s="4">
        <v>0</v>
      </c>
      <c r="C126" s="4">
        <v>0</v>
      </c>
      <c r="D126" s="4">
        <v>1</v>
      </c>
      <c r="E126" s="4">
        <v>203</v>
      </c>
      <c r="F126" s="4">
        <f>ROUND(Source!Q114,O126)</f>
        <v>0</v>
      </c>
      <c r="G126" s="4" t="s">
        <v>74</v>
      </c>
      <c r="H126" s="4" t="s">
        <v>75</v>
      </c>
      <c r="I126" s="4"/>
      <c r="J126" s="4"/>
      <c r="K126" s="4">
        <v>203</v>
      </c>
      <c r="L126" s="4">
        <v>11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06" x14ac:dyDescent="0.2">
      <c r="A127" s="4">
        <v>50</v>
      </c>
      <c r="B127" s="4">
        <v>0</v>
      </c>
      <c r="C127" s="4">
        <v>0</v>
      </c>
      <c r="D127" s="4">
        <v>1</v>
      </c>
      <c r="E127" s="4">
        <v>231</v>
      </c>
      <c r="F127" s="4">
        <f>ROUND(Source!BB114,O127)</f>
        <v>0</v>
      </c>
      <c r="G127" s="4" t="s">
        <v>76</v>
      </c>
      <c r="H127" s="4" t="s">
        <v>77</v>
      </c>
      <c r="I127" s="4"/>
      <c r="J127" s="4"/>
      <c r="K127" s="4">
        <v>231</v>
      </c>
      <c r="L127" s="4">
        <v>12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06" x14ac:dyDescent="0.2">
      <c r="A128" s="4">
        <v>50</v>
      </c>
      <c r="B128" s="4">
        <v>0</v>
      </c>
      <c r="C128" s="4">
        <v>0</v>
      </c>
      <c r="D128" s="4">
        <v>1</v>
      </c>
      <c r="E128" s="4">
        <v>204</v>
      </c>
      <c r="F128" s="4">
        <f>ROUND(Source!R114,O128)</f>
        <v>0</v>
      </c>
      <c r="G128" s="4" t="s">
        <v>78</v>
      </c>
      <c r="H128" s="4" t="s">
        <v>79</v>
      </c>
      <c r="I128" s="4"/>
      <c r="J128" s="4"/>
      <c r="K128" s="4">
        <v>204</v>
      </c>
      <c r="L128" s="4">
        <v>13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06" x14ac:dyDescent="0.2">
      <c r="A129" s="4">
        <v>50</v>
      </c>
      <c r="B129" s="4">
        <v>0</v>
      </c>
      <c r="C129" s="4">
        <v>0</v>
      </c>
      <c r="D129" s="4">
        <v>1</v>
      </c>
      <c r="E129" s="4">
        <v>205</v>
      </c>
      <c r="F129" s="4">
        <f>ROUND(Source!S114,O129)</f>
        <v>0</v>
      </c>
      <c r="G129" s="4" t="s">
        <v>80</v>
      </c>
      <c r="H129" s="4" t="s">
        <v>81</v>
      </c>
      <c r="I129" s="4"/>
      <c r="J129" s="4"/>
      <c r="K129" s="4">
        <v>205</v>
      </c>
      <c r="L129" s="4">
        <v>14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06" x14ac:dyDescent="0.2">
      <c r="A130" s="4">
        <v>50</v>
      </c>
      <c r="B130" s="4">
        <v>0</v>
      </c>
      <c r="C130" s="4">
        <v>0</v>
      </c>
      <c r="D130" s="4">
        <v>1</v>
      </c>
      <c r="E130" s="4">
        <v>232</v>
      </c>
      <c r="F130" s="4">
        <f>ROUND(Source!BC114,O130)</f>
        <v>0</v>
      </c>
      <c r="G130" s="4" t="s">
        <v>82</v>
      </c>
      <c r="H130" s="4" t="s">
        <v>83</v>
      </c>
      <c r="I130" s="4"/>
      <c r="J130" s="4"/>
      <c r="K130" s="4">
        <v>232</v>
      </c>
      <c r="L130" s="4">
        <v>15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06" x14ac:dyDescent="0.2">
      <c r="A131" s="4">
        <v>50</v>
      </c>
      <c r="B131" s="4">
        <v>0</v>
      </c>
      <c r="C131" s="4">
        <v>0</v>
      </c>
      <c r="D131" s="4">
        <v>1</v>
      </c>
      <c r="E131" s="4">
        <v>214</v>
      </c>
      <c r="F131" s="4">
        <f>ROUND(Source!AS114,O131)</f>
        <v>634413.36</v>
      </c>
      <c r="G131" s="4" t="s">
        <v>84</v>
      </c>
      <c r="H131" s="4" t="s">
        <v>85</v>
      </c>
      <c r="I131" s="4"/>
      <c r="J131" s="4"/>
      <c r="K131" s="4">
        <v>214</v>
      </c>
      <c r="L131" s="4">
        <v>16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06" x14ac:dyDescent="0.2">
      <c r="A132" s="4">
        <v>50</v>
      </c>
      <c r="B132" s="4">
        <v>0</v>
      </c>
      <c r="C132" s="4">
        <v>0</v>
      </c>
      <c r="D132" s="4">
        <v>1</v>
      </c>
      <c r="E132" s="4">
        <v>215</v>
      </c>
      <c r="F132" s="4">
        <f>ROUND(Source!AT114,O132)</f>
        <v>9596.2999999999993</v>
      </c>
      <c r="G132" s="4" t="s">
        <v>86</v>
      </c>
      <c r="H132" s="4" t="s">
        <v>87</v>
      </c>
      <c r="I132" s="4"/>
      <c r="J132" s="4"/>
      <c r="K132" s="4">
        <v>215</v>
      </c>
      <c r="L132" s="4">
        <v>17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06" x14ac:dyDescent="0.2">
      <c r="A133" s="4">
        <v>50</v>
      </c>
      <c r="B133" s="4">
        <v>0</v>
      </c>
      <c r="C133" s="4">
        <v>0</v>
      </c>
      <c r="D133" s="4">
        <v>1</v>
      </c>
      <c r="E133" s="4">
        <v>217</v>
      </c>
      <c r="F133" s="4">
        <f>ROUND(Source!AU114,O133)</f>
        <v>0</v>
      </c>
      <c r="G133" s="4" t="s">
        <v>88</v>
      </c>
      <c r="H133" s="4" t="s">
        <v>89</v>
      </c>
      <c r="I133" s="4"/>
      <c r="J133" s="4"/>
      <c r="K133" s="4">
        <v>217</v>
      </c>
      <c r="L133" s="4">
        <v>18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06" x14ac:dyDescent="0.2">
      <c r="A134" s="4">
        <v>50</v>
      </c>
      <c r="B134" s="4">
        <v>0</v>
      </c>
      <c r="C134" s="4">
        <v>0</v>
      </c>
      <c r="D134" s="4">
        <v>1</v>
      </c>
      <c r="E134" s="4">
        <v>230</v>
      </c>
      <c r="F134" s="4">
        <f>ROUND(Source!BA114,O134)</f>
        <v>0</v>
      </c>
      <c r="G134" s="4" t="s">
        <v>90</v>
      </c>
      <c r="H134" s="4" t="s">
        <v>91</v>
      </c>
      <c r="I134" s="4"/>
      <c r="J134" s="4"/>
      <c r="K134" s="4">
        <v>230</v>
      </c>
      <c r="L134" s="4">
        <v>19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06" x14ac:dyDescent="0.2">
      <c r="A135" s="4">
        <v>50</v>
      </c>
      <c r="B135" s="4">
        <v>0</v>
      </c>
      <c r="C135" s="4">
        <v>0</v>
      </c>
      <c r="D135" s="4">
        <v>1</v>
      </c>
      <c r="E135" s="4">
        <v>206</v>
      </c>
      <c r="F135" s="4">
        <f>ROUND(Source!T114,O135)</f>
        <v>0</v>
      </c>
      <c r="G135" s="4" t="s">
        <v>92</v>
      </c>
      <c r="H135" s="4" t="s">
        <v>93</v>
      </c>
      <c r="I135" s="4"/>
      <c r="J135" s="4"/>
      <c r="K135" s="4">
        <v>206</v>
      </c>
      <c r="L135" s="4">
        <v>20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06" x14ac:dyDescent="0.2">
      <c r="A136" s="4">
        <v>50</v>
      </c>
      <c r="B136" s="4">
        <v>0</v>
      </c>
      <c r="C136" s="4">
        <v>0</v>
      </c>
      <c r="D136" s="4">
        <v>1</v>
      </c>
      <c r="E136" s="4">
        <v>207</v>
      </c>
      <c r="F136" s="4">
        <f>Source!U114</f>
        <v>0</v>
      </c>
      <c r="G136" s="4" t="s">
        <v>94</v>
      </c>
      <c r="H136" s="4" t="s">
        <v>95</v>
      </c>
      <c r="I136" s="4"/>
      <c r="J136" s="4"/>
      <c r="K136" s="4">
        <v>207</v>
      </c>
      <c r="L136" s="4">
        <v>21</v>
      </c>
      <c r="M136" s="4">
        <v>3</v>
      </c>
      <c r="N136" s="4" t="s">
        <v>3</v>
      </c>
      <c r="O136" s="4">
        <v>-1</v>
      </c>
      <c r="P136" s="4"/>
      <c r="Q136" s="4"/>
      <c r="R136" s="4"/>
      <c r="S136" s="4"/>
      <c r="T136" s="4"/>
      <c r="U136" s="4"/>
      <c r="V136" s="4"/>
      <c r="W136" s="4"/>
    </row>
    <row r="137" spans="1:206" x14ac:dyDescent="0.2">
      <c r="A137" s="4">
        <v>50</v>
      </c>
      <c r="B137" s="4">
        <v>0</v>
      </c>
      <c r="C137" s="4">
        <v>0</v>
      </c>
      <c r="D137" s="4">
        <v>1</v>
      </c>
      <c r="E137" s="4">
        <v>208</v>
      </c>
      <c r="F137" s="4">
        <f>Source!V114</f>
        <v>0</v>
      </c>
      <c r="G137" s="4" t="s">
        <v>96</v>
      </c>
      <c r="H137" s="4" t="s">
        <v>97</v>
      </c>
      <c r="I137" s="4"/>
      <c r="J137" s="4"/>
      <c r="K137" s="4">
        <v>208</v>
      </c>
      <c r="L137" s="4">
        <v>22</v>
      </c>
      <c r="M137" s="4">
        <v>3</v>
      </c>
      <c r="N137" s="4" t="s">
        <v>3</v>
      </c>
      <c r="O137" s="4">
        <v>-1</v>
      </c>
      <c r="P137" s="4"/>
      <c r="Q137" s="4"/>
      <c r="R137" s="4"/>
      <c r="S137" s="4"/>
      <c r="T137" s="4"/>
      <c r="U137" s="4"/>
      <c r="V137" s="4"/>
      <c r="W137" s="4"/>
    </row>
    <row r="138" spans="1:206" x14ac:dyDescent="0.2">
      <c r="A138" s="4">
        <v>50</v>
      </c>
      <c r="B138" s="4">
        <v>0</v>
      </c>
      <c r="C138" s="4">
        <v>0</v>
      </c>
      <c r="D138" s="4">
        <v>1</v>
      </c>
      <c r="E138" s="4">
        <v>209</v>
      </c>
      <c r="F138" s="4">
        <f>ROUND(Source!W114,O138)</f>
        <v>0</v>
      </c>
      <c r="G138" s="4" t="s">
        <v>98</v>
      </c>
      <c r="H138" s="4" t="s">
        <v>99</v>
      </c>
      <c r="I138" s="4"/>
      <c r="J138" s="4"/>
      <c r="K138" s="4">
        <v>209</v>
      </c>
      <c r="L138" s="4">
        <v>23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06" x14ac:dyDescent="0.2">
      <c r="A139" s="4">
        <v>50</v>
      </c>
      <c r="B139" s="4">
        <v>0</v>
      </c>
      <c r="C139" s="4">
        <v>0</v>
      </c>
      <c r="D139" s="4">
        <v>1</v>
      </c>
      <c r="E139" s="4">
        <v>233</v>
      </c>
      <c r="F139" s="4">
        <f>ROUND(Source!BD114,O139)</f>
        <v>0</v>
      </c>
      <c r="G139" s="4" t="s">
        <v>100</v>
      </c>
      <c r="H139" s="4" t="s">
        <v>101</v>
      </c>
      <c r="I139" s="4"/>
      <c r="J139" s="4"/>
      <c r="K139" s="4">
        <v>233</v>
      </c>
      <c r="L139" s="4">
        <v>24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06" x14ac:dyDescent="0.2">
      <c r="A140" s="4">
        <v>50</v>
      </c>
      <c r="B140" s="4">
        <v>0</v>
      </c>
      <c r="C140" s="4">
        <v>0</v>
      </c>
      <c r="D140" s="4">
        <v>1</v>
      </c>
      <c r="E140" s="4">
        <v>210</v>
      </c>
      <c r="F140" s="4">
        <f>ROUND(Source!X114,O140)</f>
        <v>0</v>
      </c>
      <c r="G140" s="4" t="s">
        <v>102</v>
      </c>
      <c r="H140" s="4" t="s">
        <v>103</v>
      </c>
      <c r="I140" s="4"/>
      <c r="J140" s="4"/>
      <c r="K140" s="4">
        <v>210</v>
      </c>
      <c r="L140" s="4">
        <v>25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06" x14ac:dyDescent="0.2">
      <c r="A141" s="4">
        <v>50</v>
      </c>
      <c r="B141" s="4">
        <v>0</v>
      </c>
      <c r="C141" s="4">
        <v>0</v>
      </c>
      <c r="D141" s="4">
        <v>1</v>
      </c>
      <c r="E141" s="4">
        <v>211</v>
      </c>
      <c r="F141" s="4">
        <f>ROUND(Source!Y114,O141)</f>
        <v>0</v>
      </c>
      <c r="G141" s="4" t="s">
        <v>104</v>
      </c>
      <c r="H141" s="4" t="s">
        <v>105</v>
      </c>
      <c r="I141" s="4"/>
      <c r="J141" s="4"/>
      <c r="K141" s="4">
        <v>211</v>
      </c>
      <c r="L141" s="4">
        <v>26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06" x14ac:dyDescent="0.2">
      <c r="A142" s="4">
        <v>50</v>
      </c>
      <c r="B142" s="4">
        <v>0</v>
      </c>
      <c r="C142" s="4">
        <v>0</v>
      </c>
      <c r="D142" s="4">
        <v>1</v>
      </c>
      <c r="E142" s="4">
        <v>224</v>
      </c>
      <c r="F142" s="4">
        <f>ROUND(Source!AR114,O142)</f>
        <v>644009.66</v>
      </c>
      <c r="G142" s="4" t="s">
        <v>106</v>
      </c>
      <c r="H142" s="4" t="s">
        <v>107</v>
      </c>
      <c r="I142" s="4"/>
      <c r="J142" s="4"/>
      <c r="K142" s="4">
        <v>224</v>
      </c>
      <c r="L142" s="4">
        <v>27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4" spans="1:206" x14ac:dyDescent="0.2">
      <c r="A144" s="2">
        <v>51</v>
      </c>
      <c r="B144" s="2">
        <f>B20</f>
        <v>1</v>
      </c>
      <c r="C144" s="2">
        <f>A20</f>
        <v>3</v>
      </c>
      <c r="D144" s="2">
        <f>ROW(A20)</f>
        <v>20</v>
      </c>
      <c r="E144" s="2"/>
      <c r="F144" s="2" t="str">
        <f>IF(F20&lt;&gt;"",F20,"")</f>
        <v>Новая локальная смета</v>
      </c>
      <c r="G144" s="2" t="str">
        <f>IF(G20&lt;&gt;"",G20,"")</f>
        <v>ТП-502. Реконструкция. Замена 8 ячеек РУ-10 кВ.</v>
      </c>
      <c r="H144" s="2">
        <v>0</v>
      </c>
      <c r="I144" s="2"/>
      <c r="J144" s="2"/>
      <c r="K144" s="2"/>
      <c r="L144" s="2"/>
      <c r="M144" s="2"/>
      <c r="N144" s="2"/>
      <c r="O144" s="2">
        <f t="shared" ref="O144:T144" si="111">ROUND(O35+O77+O114+AB144,2)</f>
        <v>914804.12</v>
      </c>
      <c r="P144" s="2">
        <f t="shared" si="111"/>
        <v>658486.76</v>
      </c>
      <c r="Q144" s="2">
        <f t="shared" si="111"/>
        <v>12439.76</v>
      </c>
      <c r="R144" s="2">
        <f t="shared" si="111"/>
        <v>6211.46</v>
      </c>
      <c r="S144" s="2">
        <f t="shared" si="111"/>
        <v>243877.6</v>
      </c>
      <c r="T144" s="2">
        <f t="shared" si="111"/>
        <v>0</v>
      </c>
      <c r="U144" s="2">
        <f>U35+U77+U114+AH144</f>
        <v>728.24791919999996</v>
      </c>
      <c r="V144" s="2">
        <f>V35+V77+V114+AI144</f>
        <v>0</v>
      </c>
      <c r="W144" s="2">
        <f>ROUND(W35+W77+W114+AJ144,2)</f>
        <v>0</v>
      </c>
      <c r="X144" s="2">
        <f>ROUND(X35+X77+X114+AK144,2)</f>
        <v>180460.23</v>
      </c>
      <c r="Y144" s="2">
        <f>ROUND(Y35+Y77+Y114+AL144,2)</f>
        <v>99989.83</v>
      </c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>
        <f t="shared" ref="AO144:BD144" si="112">ROUND(AO35+AO77+AO114+BX144,2)</f>
        <v>0</v>
      </c>
      <c r="AP144" s="2">
        <f t="shared" si="112"/>
        <v>0</v>
      </c>
      <c r="AQ144" s="2">
        <f t="shared" si="112"/>
        <v>0</v>
      </c>
      <c r="AR144" s="2">
        <f t="shared" si="112"/>
        <v>1205006.1599999999</v>
      </c>
      <c r="AS144" s="2">
        <f t="shared" si="112"/>
        <v>634413.36</v>
      </c>
      <c r="AT144" s="2">
        <f t="shared" si="112"/>
        <v>400477.84</v>
      </c>
      <c r="AU144" s="2">
        <f t="shared" si="112"/>
        <v>170114.96</v>
      </c>
      <c r="AV144" s="2">
        <f t="shared" si="112"/>
        <v>658486.76</v>
      </c>
      <c r="AW144" s="2">
        <f t="shared" si="112"/>
        <v>658486.76</v>
      </c>
      <c r="AX144" s="2">
        <f t="shared" si="112"/>
        <v>0</v>
      </c>
      <c r="AY144" s="2">
        <f t="shared" si="112"/>
        <v>658486.76</v>
      </c>
      <c r="AZ144" s="2">
        <f t="shared" si="112"/>
        <v>0</v>
      </c>
      <c r="BA144" s="2">
        <f t="shared" si="112"/>
        <v>0</v>
      </c>
      <c r="BB144" s="2">
        <f t="shared" si="112"/>
        <v>0</v>
      </c>
      <c r="BC144" s="2">
        <f t="shared" si="112"/>
        <v>0</v>
      </c>
      <c r="BD144" s="2">
        <f t="shared" si="112"/>
        <v>0</v>
      </c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>
        <v>0</v>
      </c>
    </row>
    <row r="146" spans="1:23" x14ac:dyDescent="0.2">
      <c r="A146" s="4">
        <v>50</v>
      </c>
      <c r="B146" s="4">
        <v>0</v>
      </c>
      <c r="C146" s="4">
        <v>0</v>
      </c>
      <c r="D146" s="4">
        <v>1</v>
      </c>
      <c r="E146" s="4">
        <v>201</v>
      </c>
      <c r="F146" s="4">
        <f>ROUND(Source!O144,O146)</f>
        <v>914804.12</v>
      </c>
      <c r="G146" s="4" t="s">
        <v>54</v>
      </c>
      <c r="H146" s="4" t="s">
        <v>55</v>
      </c>
      <c r="I146" s="4"/>
      <c r="J146" s="4"/>
      <c r="K146" s="4">
        <v>201</v>
      </c>
      <c r="L146" s="4">
        <v>1</v>
      </c>
      <c r="M146" s="4">
        <v>3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/>
    </row>
    <row r="147" spans="1:23" x14ac:dyDescent="0.2">
      <c r="A147" s="4">
        <v>50</v>
      </c>
      <c r="B147" s="4">
        <v>0</v>
      </c>
      <c r="C147" s="4">
        <v>0</v>
      </c>
      <c r="D147" s="4">
        <v>1</v>
      </c>
      <c r="E147" s="4">
        <v>202</v>
      </c>
      <c r="F147" s="4">
        <f>ROUND(Source!P144,O147)</f>
        <v>658486.76</v>
      </c>
      <c r="G147" s="4" t="s">
        <v>56</v>
      </c>
      <c r="H147" s="4" t="s">
        <v>57</v>
      </c>
      <c r="I147" s="4"/>
      <c r="J147" s="4"/>
      <c r="K147" s="4">
        <v>202</v>
      </c>
      <c r="L147" s="4">
        <v>2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/>
    </row>
    <row r="148" spans="1:23" x14ac:dyDescent="0.2">
      <c r="A148" s="4">
        <v>50</v>
      </c>
      <c r="B148" s="4">
        <v>0</v>
      </c>
      <c r="C148" s="4">
        <v>0</v>
      </c>
      <c r="D148" s="4">
        <v>1</v>
      </c>
      <c r="E148" s="4">
        <v>222</v>
      </c>
      <c r="F148" s="4">
        <f>ROUND(Source!AO144,O148)</f>
        <v>0</v>
      </c>
      <c r="G148" s="4" t="s">
        <v>58</v>
      </c>
      <c r="H148" s="4" t="s">
        <v>59</v>
      </c>
      <c r="I148" s="4"/>
      <c r="J148" s="4"/>
      <c r="K148" s="4">
        <v>222</v>
      </c>
      <c r="L148" s="4">
        <v>3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3" x14ac:dyDescent="0.2">
      <c r="A149" s="4">
        <v>50</v>
      </c>
      <c r="B149" s="4">
        <v>0</v>
      </c>
      <c r="C149" s="4">
        <v>0</v>
      </c>
      <c r="D149" s="4">
        <v>1</v>
      </c>
      <c r="E149" s="4">
        <v>225</v>
      </c>
      <c r="F149" s="4">
        <f>ROUND(Source!AV144,O149)</f>
        <v>658486.76</v>
      </c>
      <c r="G149" s="4" t="s">
        <v>60</v>
      </c>
      <c r="H149" s="4" t="s">
        <v>61</v>
      </c>
      <c r="I149" s="4"/>
      <c r="J149" s="4"/>
      <c r="K149" s="4">
        <v>225</v>
      </c>
      <c r="L149" s="4">
        <v>4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3" x14ac:dyDescent="0.2">
      <c r="A150" s="4">
        <v>50</v>
      </c>
      <c r="B150" s="4">
        <v>0</v>
      </c>
      <c r="C150" s="4">
        <v>0</v>
      </c>
      <c r="D150" s="4">
        <v>1</v>
      </c>
      <c r="E150" s="4">
        <v>226</v>
      </c>
      <c r="F150" s="4">
        <f>ROUND(Source!AW144,O150)</f>
        <v>658486.76</v>
      </c>
      <c r="G150" s="4" t="s">
        <v>62</v>
      </c>
      <c r="H150" s="4" t="s">
        <v>63</v>
      </c>
      <c r="I150" s="4"/>
      <c r="J150" s="4"/>
      <c r="K150" s="4">
        <v>226</v>
      </c>
      <c r="L150" s="4">
        <v>5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3" x14ac:dyDescent="0.2">
      <c r="A151" s="4">
        <v>50</v>
      </c>
      <c r="B151" s="4">
        <v>0</v>
      </c>
      <c r="C151" s="4">
        <v>0</v>
      </c>
      <c r="D151" s="4">
        <v>1</v>
      </c>
      <c r="E151" s="4">
        <v>227</v>
      </c>
      <c r="F151" s="4">
        <f>ROUND(Source!AX144,O151)</f>
        <v>0</v>
      </c>
      <c r="G151" s="4" t="s">
        <v>64</v>
      </c>
      <c r="H151" s="4" t="s">
        <v>65</v>
      </c>
      <c r="I151" s="4"/>
      <c r="J151" s="4"/>
      <c r="K151" s="4">
        <v>227</v>
      </c>
      <c r="L151" s="4">
        <v>6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/>
    </row>
    <row r="152" spans="1:23" x14ac:dyDescent="0.2">
      <c r="A152" s="4">
        <v>50</v>
      </c>
      <c r="B152" s="4">
        <v>0</v>
      </c>
      <c r="C152" s="4">
        <v>0</v>
      </c>
      <c r="D152" s="4">
        <v>1</v>
      </c>
      <c r="E152" s="4">
        <v>228</v>
      </c>
      <c r="F152" s="4">
        <f>ROUND(Source!AY144,O152)</f>
        <v>658486.76</v>
      </c>
      <c r="G152" s="4" t="s">
        <v>66</v>
      </c>
      <c r="H152" s="4" t="s">
        <v>67</v>
      </c>
      <c r="I152" s="4"/>
      <c r="J152" s="4"/>
      <c r="K152" s="4">
        <v>228</v>
      </c>
      <c r="L152" s="4">
        <v>7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/>
    </row>
    <row r="153" spans="1:23" x14ac:dyDescent="0.2">
      <c r="A153" s="4">
        <v>50</v>
      </c>
      <c r="B153" s="4">
        <v>0</v>
      </c>
      <c r="C153" s="4">
        <v>0</v>
      </c>
      <c r="D153" s="4">
        <v>1</v>
      </c>
      <c r="E153" s="4">
        <v>216</v>
      </c>
      <c r="F153" s="4">
        <f>ROUND(Source!AP144,O153)</f>
        <v>0</v>
      </c>
      <c r="G153" s="4" t="s">
        <v>68</v>
      </c>
      <c r="H153" s="4" t="s">
        <v>69</v>
      </c>
      <c r="I153" s="4"/>
      <c r="J153" s="4"/>
      <c r="K153" s="4">
        <v>216</v>
      </c>
      <c r="L153" s="4">
        <v>8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/>
    </row>
    <row r="154" spans="1:23" x14ac:dyDescent="0.2">
      <c r="A154" s="4">
        <v>50</v>
      </c>
      <c r="B154" s="4">
        <v>0</v>
      </c>
      <c r="C154" s="4">
        <v>0</v>
      </c>
      <c r="D154" s="4">
        <v>1</v>
      </c>
      <c r="E154" s="4">
        <v>223</v>
      </c>
      <c r="F154" s="4">
        <f>ROUND(Source!AQ144,O154)</f>
        <v>0</v>
      </c>
      <c r="G154" s="4" t="s">
        <v>70</v>
      </c>
      <c r="H154" s="4" t="s">
        <v>71</v>
      </c>
      <c r="I154" s="4"/>
      <c r="J154" s="4"/>
      <c r="K154" s="4">
        <v>223</v>
      </c>
      <c r="L154" s="4">
        <v>9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/>
    </row>
    <row r="155" spans="1:23" x14ac:dyDescent="0.2">
      <c r="A155" s="4">
        <v>50</v>
      </c>
      <c r="B155" s="4">
        <v>0</v>
      </c>
      <c r="C155" s="4">
        <v>0</v>
      </c>
      <c r="D155" s="4">
        <v>1</v>
      </c>
      <c r="E155" s="4">
        <v>229</v>
      </c>
      <c r="F155" s="4">
        <f>ROUND(Source!AZ144,O155)</f>
        <v>0</v>
      </c>
      <c r="G155" s="4" t="s">
        <v>72</v>
      </c>
      <c r="H155" s="4" t="s">
        <v>73</v>
      </c>
      <c r="I155" s="4"/>
      <c r="J155" s="4"/>
      <c r="K155" s="4">
        <v>229</v>
      </c>
      <c r="L155" s="4">
        <v>10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6" spans="1:23" x14ac:dyDescent="0.2">
      <c r="A156" s="4">
        <v>50</v>
      </c>
      <c r="B156" s="4">
        <v>0</v>
      </c>
      <c r="C156" s="4">
        <v>0</v>
      </c>
      <c r="D156" s="4">
        <v>1</v>
      </c>
      <c r="E156" s="4">
        <v>203</v>
      </c>
      <c r="F156" s="4">
        <f>ROUND(Source!Q144,O156)</f>
        <v>12439.76</v>
      </c>
      <c r="G156" s="4" t="s">
        <v>74</v>
      </c>
      <c r="H156" s="4" t="s">
        <v>75</v>
      </c>
      <c r="I156" s="4"/>
      <c r="J156" s="4"/>
      <c r="K156" s="4">
        <v>203</v>
      </c>
      <c r="L156" s="4">
        <v>11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7" spans="1:23" x14ac:dyDescent="0.2">
      <c r="A157" s="4">
        <v>50</v>
      </c>
      <c r="B157" s="4">
        <v>0</v>
      </c>
      <c r="C157" s="4">
        <v>0</v>
      </c>
      <c r="D157" s="4">
        <v>1</v>
      </c>
      <c r="E157" s="4">
        <v>231</v>
      </c>
      <c r="F157" s="4">
        <f>ROUND(Source!BB144,O157)</f>
        <v>0</v>
      </c>
      <c r="G157" s="4" t="s">
        <v>76</v>
      </c>
      <c r="H157" s="4" t="s">
        <v>77</v>
      </c>
      <c r="I157" s="4"/>
      <c r="J157" s="4"/>
      <c r="K157" s="4">
        <v>231</v>
      </c>
      <c r="L157" s="4">
        <v>12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/>
    </row>
    <row r="158" spans="1:23" x14ac:dyDescent="0.2">
      <c r="A158" s="4">
        <v>50</v>
      </c>
      <c r="B158" s="4">
        <v>0</v>
      </c>
      <c r="C158" s="4">
        <v>0</v>
      </c>
      <c r="D158" s="4">
        <v>1</v>
      </c>
      <c r="E158" s="4">
        <v>204</v>
      </c>
      <c r="F158" s="4">
        <f>ROUND(Source!R144,O158)</f>
        <v>6211.46</v>
      </c>
      <c r="G158" s="4" t="s">
        <v>78</v>
      </c>
      <c r="H158" s="4" t="s">
        <v>79</v>
      </c>
      <c r="I158" s="4"/>
      <c r="J158" s="4"/>
      <c r="K158" s="4">
        <v>204</v>
      </c>
      <c r="L158" s="4">
        <v>13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/>
    </row>
    <row r="159" spans="1:23" x14ac:dyDescent="0.2">
      <c r="A159" s="4">
        <v>50</v>
      </c>
      <c r="B159" s="4">
        <v>0</v>
      </c>
      <c r="C159" s="4">
        <v>0</v>
      </c>
      <c r="D159" s="4">
        <v>1</v>
      </c>
      <c r="E159" s="4">
        <v>205</v>
      </c>
      <c r="F159" s="4">
        <f>ROUND(Source!S144,O159)</f>
        <v>243877.6</v>
      </c>
      <c r="G159" s="4" t="s">
        <v>80</v>
      </c>
      <c r="H159" s="4" t="s">
        <v>81</v>
      </c>
      <c r="I159" s="4"/>
      <c r="J159" s="4"/>
      <c r="K159" s="4">
        <v>205</v>
      </c>
      <c r="L159" s="4">
        <v>14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/>
    </row>
    <row r="160" spans="1:23" x14ac:dyDescent="0.2">
      <c r="A160" s="4">
        <v>50</v>
      </c>
      <c r="B160" s="4">
        <v>0</v>
      </c>
      <c r="C160" s="4">
        <v>0</v>
      </c>
      <c r="D160" s="4">
        <v>1</v>
      </c>
      <c r="E160" s="4">
        <v>232</v>
      </c>
      <c r="F160" s="4">
        <f>ROUND(Source!BC144,O160)</f>
        <v>0</v>
      </c>
      <c r="G160" s="4" t="s">
        <v>82</v>
      </c>
      <c r="H160" s="4" t="s">
        <v>83</v>
      </c>
      <c r="I160" s="4"/>
      <c r="J160" s="4"/>
      <c r="K160" s="4">
        <v>232</v>
      </c>
      <c r="L160" s="4">
        <v>15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06" x14ac:dyDescent="0.2">
      <c r="A161" s="4">
        <v>50</v>
      </c>
      <c r="B161" s="4">
        <v>0</v>
      </c>
      <c r="C161" s="4">
        <v>0</v>
      </c>
      <c r="D161" s="4">
        <v>1</v>
      </c>
      <c r="E161" s="4">
        <v>214</v>
      </c>
      <c r="F161" s="4">
        <f>ROUND(Source!AS144,O161)</f>
        <v>634413.36</v>
      </c>
      <c r="G161" s="4" t="s">
        <v>84</v>
      </c>
      <c r="H161" s="4" t="s">
        <v>85</v>
      </c>
      <c r="I161" s="4"/>
      <c r="J161" s="4"/>
      <c r="K161" s="4">
        <v>214</v>
      </c>
      <c r="L161" s="4">
        <v>16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06" x14ac:dyDescent="0.2">
      <c r="A162" s="4">
        <v>50</v>
      </c>
      <c r="B162" s="4">
        <v>0</v>
      </c>
      <c r="C162" s="4">
        <v>0</v>
      </c>
      <c r="D162" s="4">
        <v>1</v>
      </c>
      <c r="E162" s="4">
        <v>215</v>
      </c>
      <c r="F162" s="4">
        <f>ROUND(Source!AT144,O162)</f>
        <v>400477.84</v>
      </c>
      <c r="G162" s="4" t="s">
        <v>86</v>
      </c>
      <c r="H162" s="4" t="s">
        <v>87</v>
      </c>
      <c r="I162" s="4"/>
      <c r="J162" s="4"/>
      <c r="K162" s="4">
        <v>215</v>
      </c>
      <c r="L162" s="4">
        <v>17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06" x14ac:dyDescent="0.2">
      <c r="A163" s="4">
        <v>50</v>
      </c>
      <c r="B163" s="4">
        <v>0</v>
      </c>
      <c r="C163" s="4">
        <v>0</v>
      </c>
      <c r="D163" s="4">
        <v>1</v>
      </c>
      <c r="E163" s="4">
        <v>217</v>
      </c>
      <c r="F163" s="4">
        <f>ROUND(Source!AU144,O163)</f>
        <v>170114.96</v>
      </c>
      <c r="G163" s="4" t="s">
        <v>88</v>
      </c>
      <c r="H163" s="4" t="s">
        <v>89</v>
      </c>
      <c r="I163" s="4"/>
      <c r="J163" s="4"/>
      <c r="K163" s="4">
        <v>217</v>
      </c>
      <c r="L163" s="4">
        <v>18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06" x14ac:dyDescent="0.2">
      <c r="A164" s="4">
        <v>50</v>
      </c>
      <c r="B164" s="4">
        <v>0</v>
      </c>
      <c r="C164" s="4">
        <v>0</v>
      </c>
      <c r="D164" s="4">
        <v>1</v>
      </c>
      <c r="E164" s="4">
        <v>230</v>
      </c>
      <c r="F164" s="4">
        <f>ROUND(Source!BA144,O164)</f>
        <v>0</v>
      </c>
      <c r="G164" s="4" t="s">
        <v>90</v>
      </c>
      <c r="H164" s="4" t="s">
        <v>91</v>
      </c>
      <c r="I164" s="4"/>
      <c r="J164" s="4"/>
      <c r="K164" s="4">
        <v>230</v>
      </c>
      <c r="L164" s="4">
        <v>19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06" x14ac:dyDescent="0.2">
      <c r="A165" s="4">
        <v>50</v>
      </c>
      <c r="B165" s="4">
        <v>0</v>
      </c>
      <c r="C165" s="4">
        <v>0</v>
      </c>
      <c r="D165" s="4">
        <v>1</v>
      </c>
      <c r="E165" s="4">
        <v>206</v>
      </c>
      <c r="F165" s="4">
        <f>ROUND(Source!T144,O165)</f>
        <v>0</v>
      </c>
      <c r="G165" s="4" t="s">
        <v>92</v>
      </c>
      <c r="H165" s="4" t="s">
        <v>93</v>
      </c>
      <c r="I165" s="4"/>
      <c r="J165" s="4"/>
      <c r="K165" s="4">
        <v>206</v>
      </c>
      <c r="L165" s="4">
        <v>20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06" x14ac:dyDescent="0.2">
      <c r="A166" s="4">
        <v>50</v>
      </c>
      <c r="B166" s="4">
        <v>0</v>
      </c>
      <c r="C166" s="4">
        <v>0</v>
      </c>
      <c r="D166" s="4">
        <v>1</v>
      </c>
      <c r="E166" s="4">
        <v>207</v>
      </c>
      <c r="F166" s="4">
        <f>Source!U144</f>
        <v>728.24791919999996</v>
      </c>
      <c r="G166" s="4" t="s">
        <v>94</v>
      </c>
      <c r="H166" s="4" t="s">
        <v>95</v>
      </c>
      <c r="I166" s="4"/>
      <c r="J166" s="4"/>
      <c r="K166" s="4">
        <v>207</v>
      </c>
      <c r="L166" s="4">
        <v>21</v>
      </c>
      <c r="M166" s="4">
        <v>3</v>
      </c>
      <c r="N166" s="4" t="s">
        <v>3</v>
      </c>
      <c r="O166" s="4">
        <v>-1</v>
      </c>
      <c r="P166" s="4"/>
      <c r="Q166" s="4"/>
      <c r="R166" s="4"/>
      <c r="S166" s="4"/>
      <c r="T166" s="4"/>
      <c r="U166" s="4"/>
      <c r="V166" s="4"/>
      <c r="W166" s="4"/>
    </row>
    <row r="167" spans="1:206" x14ac:dyDescent="0.2">
      <c r="A167" s="4">
        <v>50</v>
      </c>
      <c r="B167" s="4">
        <v>0</v>
      </c>
      <c r="C167" s="4">
        <v>0</v>
      </c>
      <c r="D167" s="4">
        <v>1</v>
      </c>
      <c r="E167" s="4">
        <v>208</v>
      </c>
      <c r="F167" s="4">
        <f>Source!V144</f>
        <v>0</v>
      </c>
      <c r="G167" s="4" t="s">
        <v>96</v>
      </c>
      <c r="H167" s="4" t="s">
        <v>97</v>
      </c>
      <c r="I167" s="4"/>
      <c r="J167" s="4"/>
      <c r="K167" s="4">
        <v>208</v>
      </c>
      <c r="L167" s="4">
        <v>22</v>
      </c>
      <c r="M167" s="4">
        <v>3</v>
      </c>
      <c r="N167" s="4" t="s">
        <v>3</v>
      </c>
      <c r="O167" s="4">
        <v>-1</v>
      </c>
      <c r="P167" s="4"/>
      <c r="Q167" s="4"/>
      <c r="R167" s="4"/>
      <c r="S167" s="4"/>
      <c r="T167" s="4"/>
      <c r="U167" s="4"/>
      <c r="V167" s="4"/>
      <c r="W167" s="4"/>
    </row>
    <row r="168" spans="1:206" x14ac:dyDescent="0.2">
      <c r="A168" s="4">
        <v>50</v>
      </c>
      <c r="B168" s="4">
        <v>0</v>
      </c>
      <c r="C168" s="4">
        <v>0</v>
      </c>
      <c r="D168" s="4">
        <v>1</v>
      </c>
      <c r="E168" s="4">
        <v>209</v>
      </c>
      <c r="F168" s="4">
        <f>ROUND(Source!W144,O168)</f>
        <v>0</v>
      </c>
      <c r="G168" s="4" t="s">
        <v>98</v>
      </c>
      <c r="H168" s="4" t="s">
        <v>99</v>
      </c>
      <c r="I168" s="4"/>
      <c r="J168" s="4"/>
      <c r="K168" s="4">
        <v>209</v>
      </c>
      <c r="L168" s="4">
        <v>23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06" x14ac:dyDescent="0.2">
      <c r="A169" s="4">
        <v>50</v>
      </c>
      <c r="B169" s="4">
        <v>0</v>
      </c>
      <c r="C169" s="4">
        <v>0</v>
      </c>
      <c r="D169" s="4">
        <v>1</v>
      </c>
      <c r="E169" s="4">
        <v>233</v>
      </c>
      <c r="F169" s="4">
        <f>ROUND(Source!BD144,O169)</f>
        <v>0</v>
      </c>
      <c r="G169" s="4" t="s">
        <v>100</v>
      </c>
      <c r="H169" s="4" t="s">
        <v>101</v>
      </c>
      <c r="I169" s="4"/>
      <c r="J169" s="4"/>
      <c r="K169" s="4">
        <v>233</v>
      </c>
      <c r="L169" s="4">
        <v>24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06" x14ac:dyDescent="0.2">
      <c r="A170" s="4">
        <v>50</v>
      </c>
      <c r="B170" s="4">
        <v>0</v>
      </c>
      <c r="C170" s="4">
        <v>0</v>
      </c>
      <c r="D170" s="4">
        <v>1</v>
      </c>
      <c r="E170" s="4">
        <v>210</v>
      </c>
      <c r="F170" s="4">
        <f>ROUND(Source!X144,O170)</f>
        <v>180460.23</v>
      </c>
      <c r="G170" s="4" t="s">
        <v>102</v>
      </c>
      <c r="H170" s="4" t="s">
        <v>103</v>
      </c>
      <c r="I170" s="4"/>
      <c r="J170" s="4"/>
      <c r="K170" s="4">
        <v>210</v>
      </c>
      <c r="L170" s="4">
        <v>25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06" x14ac:dyDescent="0.2">
      <c r="A171" s="4">
        <v>50</v>
      </c>
      <c r="B171" s="4">
        <v>0</v>
      </c>
      <c r="C171" s="4">
        <v>0</v>
      </c>
      <c r="D171" s="4">
        <v>1</v>
      </c>
      <c r="E171" s="4">
        <v>211</v>
      </c>
      <c r="F171" s="4">
        <f>ROUND(Source!Y144,O171)</f>
        <v>99989.83</v>
      </c>
      <c r="G171" s="4" t="s">
        <v>104</v>
      </c>
      <c r="H171" s="4" t="s">
        <v>105</v>
      </c>
      <c r="I171" s="4"/>
      <c r="J171" s="4"/>
      <c r="K171" s="4">
        <v>211</v>
      </c>
      <c r="L171" s="4">
        <v>26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06" x14ac:dyDescent="0.2">
      <c r="A172" s="4">
        <v>50</v>
      </c>
      <c r="B172" s="4">
        <v>0</v>
      </c>
      <c r="C172" s="4">
        <v>0</v>
      </c>
      <c r="D172" s="4">
        <v>1</v>
      </c>
      <c r="E172" s="4">
        <v>224</v>
      </c>
      <c r="F172" s="4">
        <f>ROUND(Source!AR144,O172)</f>
        <v>1205006.1599999999</v>
      </c>
      <c r="G172" s="4" t="s">
        <v>106</v>
      </c>
      <c r="H172" s="4" t="s">
        <v>107</v>
      </c>
      <c r="I172" s="4"/>
      <c r="J172" s="4"/>
      <c r="K172" s="4">
        <v>224</v>
      </c>
      <c r="L172" s="4">
        <v>27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4" spans="1:206" x14ac:dyDescent="0.2">
      <c r="A174" s="2">
        <v>51</v>
      </c>
      <c r="B174" s="2">
        <f>B12</f>
        <v>210</v>
      </c>
      <c r="C174" s="2">
        <f>A12</f>
        <v>1</v>
      </c>
      <c r="D174" s="2">
        <f>ROW(A12)</f>
        <v>12</v>
      </c>
      <c r="E174" s="2"/>
      <c r="F174" s="2" t="str">
        <f>IF(F12&lt;&gt;"",F12,"")</f>
        <v>ТП-502. Реконструкция. Замена 8 ячеек РУ-10 кВ.</v>
      </c>
      <c r="G174" s="2" t="str">
        <f>IF(G12&lt;&gt;"",G12,"")</f>
        <v>ТП-502. Реконструкция. Замена 8 ячеек РУ-10 кВ.</v>
      </c>
      <c r="H174" s="2">
        <v>0</v>
      </c>
      <c r="I174" s="2"/>
      <c r="J174" s="2"/>
      <c r="K174" s="2"/>
      <c r="L174" s="2"/>
      <c r="M174" s="2"/>
      <c r="N174" s="2"/>
      <c r="O174" s="2">
        <f t="shared" ref="O174:T174" si="113">ROUND(O144,2)</f>
        <v>914804.12</v>
      </c>
      <c r="P174" s="2">
        <f t="shared" si="113"/>
        <v>658486.76</v>
      </c>
      <c r="Q174" s="2">
        <f t="shared" si="113"/>
        <v>12439.76</v>
      </c>
      <c r="R174" s="2">
        <f t="shared" si="113"/>
        <v>6211.46</v>
      </c>
      <c r="S174" s="2">
        <f t="shared" si="113"/>
        <v>243877.6</v>
      </c>
      <c r="T174" s="2">
        <f t="shared" si="113"/>
        <v>0</v>
      </c>
      <c r="U174" s="2">
        <f>U144</f>
        <v>728.24791919999996</v>
      </c>
      <c r="V174" s="2">
        <f>V144</f>
        <v>0</v>
      </c>
      <c r="W174" s="2">
        <f>ROUND(W144,2)</f>
        <v>0</v>
      </c>
      <c r="X174" s="2">
        <f>ROUND(X144,2)</f>
        <v>180460.23</v>
      </c>
      <c r="Y174" s="2">
        <f>ROUND(Y144,2)</f>
        <v>99989.83</v>
      </c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>
        <f t="shared" ref="AO174:BD174" si="114">ROUND(AO144,2)</f>
        <v>0</v>
      </c>
      <c r="AP174" s="2">
        <f t="shared" si="114"/>
        <v>0</v>
      </c>
      <c r="AQ174" s="2">
        <f t="shared" si="114"/>
        <v>0</v>
      </c>
      <c r="AR174" s="2">
        <f t="shared" si="114"/>
        <v>1205006.1599999999</v>
      </c>
      <c r="AS174" s="2">
        <f t="shared" si="114"/>
        <v>634413.36</v>
      </c>
      <c r="AT174" s="2">
        <f t="shared" si="114"/>
        <v>400477.84</v>
      </c>
      <c r="AU174" s="2">
        <f t="shared" si="114"/>
        <v>170114.96</v>
      </c>
      <c r="AV174" s="2">
        <f t="shared" si="114"/>
        <v>658486.76</v>
      </c>
      <c r="AW174" s="2">
        <f t="shared" si="114"/>
        <v>658486.76</v>
      </c>
      <c r="AX174" s="2">
        <f t="shared" si="114"/>
        <v>0</v>
      </c>
      <c r="AY174" s="2">
        <f t="shared" si="114"/>
        <v>658486.76</v>
      </c>
      <c r="AZ174" s="2">
        <f t="shared" si="114"/>
        <v>0</v>
      </c>
      <c r="BA174" s="2">
        <f t="shared" si="114"/>
        <v>0</v>
      </c>
      <c r="BB174" s="2">
        <f t="shared" si="114"/>
        <v>0</v>
      </c>
      <c r="BC174" s="2">
        <f t="shared" si="114"/>
        <v>0</v>
      </c>
      <c r="BD174" s="2">
        <f t="shared" si="114"/>
        <v>0</v>
      </c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>
        <v>0</v>
      </c>
    </row>
    <row r="176" spans="1:206" x14ac:dyDescent="0.2">
      <c r="A176" s="4">
        <v>50</v>
      </c>
      <c r="B176" s="4">
        <v>0</v>
      </c>
      <c r="C176" s="4">
        <v>0</v>
      </c>
      <c r="D176" s="4">
        <v>1</v>
      </c>
      <c r="E176" s="4">
        <v>201</v>
      </c>
      <c r="F176" s="4">
        <f>ROUND(Source!O174,O176)</f>
        <v>914804.12</v>
      </c>
      <c r="G176" s="4" t="s">
        <v>54</v>
      </c>
      <c r="H176" s="4" t="s">
        <v>55</v>
      </c>
      <c r="I176" s="4"/>
      <c r="J176" s="4"/>
      <c r="K176" s="4">
        <v>201</v>
      </c>
      <c r="L176" s="4">
        <v>1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3" x14ac:dyDescent="0.2">
      <c r="A177" s="4">
        <v>50</v>
      </c>
      <c r="B177" s="4">
        <v>0</v>
      </c>
      <c r="C177" s="4">
        <v>0</v>
      </c>
      <c r="D177" s="4">
        <v>1</v>
      </c>
      <c r="E177" s="4">
        <v>202</v>
      </c>
      <c r="F177" s="4">
        <f>ROUND(Source!P174,O177)</f>
        <v>658486.76</v>
      </c>
      <c r="G177" s="4" t="s">
        <v>56</v>
      </c>
      <c r="H177" s="4" t="s">
        <v>57</v>
      </c>
      <c r="I177" s="4"/>
      <c r="J177" s="4"/>
      <c r="K177" s="4">
        <v>202</v>
      </c>
      <c r="L177" s="4">
        <v>2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3" x14ac:dyDescent="0.2">
      <c r="A178" s="4">
        <v>50</v>
      </c>
      <c r="B178" s="4">
        <v>0</v>
      </c>
      <c r="C178" s="4">
        <v>0</v>
      </c>
      <c r="D178" s="4">
        <v>1</v>
      </c>
      <c r="E178" s="4">
        <v>222</v>
      </c>
      <c r="F178" s="4">
        <f>ROUND(Source!AO174,O178)</f>
        <v>0</v>
      </c>
      <c r="G178" s="4" t="s">
        <v>58</v>
      </c>
      <c r="H178" s="4" t="s">
        <v>59</v>
      </c>
      <c r="I178" s="4"/>
      <c r="J178" s="4"/>
      <c r="K178" s="4">
        <v>222</v>
      </c>
      <c r="L178" s="4">
        <v>3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3" x14ac:dyDescent="0.2">
      <c r="A179" s="4">
        <v>50</v>
      </c>
      <c r="B179" s="4">
        <v>0</v>
      </c>
      <c r="C179" s="4">
        <v>0</v>
      </c>
      <c r="D179" s="4">
        <v>1</v>
      </c>
      <c r="E179" s="4">
        <v>225</v>
      </c>
      <c r="F179" s="4">
        <f>ROUND(Source!AV174,O179)</f>
        <v>658486.76</v>
      </c>
      <c r="G179" s="4" t="s">
        <v>60</v>
      </c>
      <c r="H179" s="4" t="s">
        <v>61</v>
      </c>
      <c r="I179" s="4"/>
      <c r="J179" s="4"/>
      <c r="K179" s="4">
        <v>225</v>
      </c>
      <c r="L179" s="4">
        <v>4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3" x14ac:dyDescent="0.2">
      <c r="A180" s="4">
        <v>50</v>
      </c>
      <c r="B180" s="4">
        <v>0</v>
      </c>
      <c r="C180" s="4">
        <v>0</v>
      </c>
      <c r="D180" s="4">
        <v>1</v>
      </c>
      <c r="E180" s="4">
        <v>226</v>
      </c>
      <c r="F180" s="4">
        <f>ROUND(Source!AW174,O180)</f>
        <v>658486.76</v>
      </c>
      <c r="G180" s="4" t="s">
        <v>62</v>
      </c>
      <c r="H180" s="4" t="s">
        <v>63</v>
      </c>
      <c r="I180" s="4"/>
      <c r="J180" s="4"/>
      <c r="K180" s="4">
        <v>226</v>
      </c>
      <c r="L180" s="4">
        <v>5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3" x14ac:dyDescent="0.2">
      <c r="A181" s="4">
        <v>50</v>
      </c>
      <c r="B181" s="4">
        <v>0</v>
      </c>
      <c r="C181" s="4">
        <v>0</v>
      </c>
      <c r="D181" s="4">
        <v>1</v>
      </c>
      <c r="E181" s="4">
        <v>227</v>
      </c>
      <c r="F181" s="4">
        <f>ROUND(Source!AX174,O181)</f>
        <v>0</v>
      </c>
      <c r="G181" s="4" t="s">
        <v>64</v>
      </c>
      <c r="H181" s="4" t="s">
        <v>65</v>
      </c>
      <c r="I181" s="4"/>
      <c r="J181" s="4"/>
      <c r="K181" s="4">
        <v>227</v>
      </c>
      <c r="L181" s="4">
        <v>6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2" spans="1:23" x14ac:dyDescent="0.2">
      <c r="A182" s="4">
        <v>50</v>
      </c>
      <c r="B182" s="4">
        <v>0</v>
      </c>
      <c r="C182" s="4">
        <v>0</v>
      </c>
      <c r="D182" s="4">
        <v>1</v>
      </c>
      <c r="E182" s="4">
        <v>228</v>
      </c>
      <c r="F182" s="4">
        <f>ROUND(Source!AY174,O182)</f>
        <v>658486.76</v>
      </c>
      <c r="G182" s="4" t="s">
        <v>66</v>
      </c>
      <c r="H182" s="4" t="s">
        <v>67</v>
      </c>
      <c r="I182" s="4"/>
      <c r="J182" s="4"/>
      <c r="K182" s="4">
        <v>228</v>
      </c>
      <c r="L182" s="4">
        <v>7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3" spans="1:23" x14ac:dyDescent="0.2">
      <c r="A183" s="4">
        <v>50</v>
      </c>
      <c r="B183" s="4">
        <v>0</v>
      </c>
      <c r="C183" s="4">
        <v>0</v>
      </c>
      <c r="D183" s="4">
        <v>1</v>
      </c>
      <c r="E183" s="4">
        <v>216</v>
      </c>
      <c r="F183" s="4">
        <f>ROUND(Source!AP174,O183)</f>
        <v>0</v>
      </c>
      <c r="G183" s="4" t="s">
        <v>68</v>
      </c>
      <c r="H183" s="4" t="s">
        <v>69</v>
      </c>
      <c r="I183" s="4"/>
      <c r="J183" s="4"/>
      <c r="K183" s="4">
        <v>216</v>
      </c>
      <c r="L183" s="4">
        <v>8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4" spans="1:23" x14ac:dyDescent="0.2">
      <c r="A184" s="4">
        <v>50</v>
      </c>
      <c r="B184" s="4">
        <v>0</v>
      </c>
      <c r="C184" s="4">
        <v>0</v>
      </c>
      <c r="D184" s="4">
        <v>1</v>
      </c>
      <c r="E184" s="4">
        <v>223</v>
      </c>
      <c r="F184" s="4">
        <f>ROUND(Source!AQ174,O184)</f>
        <v>0</v>
      </c>
      <c r="G184" s="4" t="s">
        <v>70</v>
      </c>
      <c r="H184" s="4" t="s">
        <v>71</v>
      </c>
      <c r="I184" s="4"/>
      <c r="J184" s="4"/>
      <c r="K184" s="4">
        <v>223</v>
      </c>
      <c r="L184" s="4">
        <v>9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3" x14ac:dyDescent="0.2">
      <c r="A185" s="4">
        <v>50</v>
      </c>
      <c r="B185" s="4">
        <v>0</v>
      </c>
      <c r="C185" s="4">
        <v>0</v>
      </c>
      <c r="D185" s="4">
        <v>1</v>
      </c>
      <c r="E185" s="4">
        <v>229</v>
      </c>
      <c r="F185" s="4">
        <f>ROUND(Source!AZ174,O185)</f>
        <v>0</v>
      </c>
      <c r="G185" s="4" t="s">
        <v>72</v>
      </c>
      <c r="H185" s="4" t="s">
        <v>73</v>
      </c>
      <c r="I185" s="4"/>
      <c r="J185" s="4"/>
      <c r="K185" s="4">
        <v>229</v>
      </c>
      <c r="L185" s="4">
        <v>10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3" x14ac:dyDescent="0.2">
      <c r="A186" s="4">
        <v>50</v>
      </c>
      <c r="B186" s="4">
        <v>0</v>
      </c>
      <c r="C186" s="4">
        <v>0</v>
      </c>
      <c r="D186" s="4">
        <v>1</v>
      </c>
      <c r="E186" s="4">
        <v>203</v>
      </c>
      <c r="F186" s="4">
        <f>ROUND(Source!Q174,O186)</f>
        <v>12439.76</v>
      </c>
      <c r="G186" s="4" t="s">
        <v>74</v>
      </c>
      <c r="H186" s="4" t="s">
        <v>75</v>
      </c>
      <c r="I186" s="4"/>
      <c r="J186" s="4"/>
      <c r="K186" s="4">
        <v>203</v>
      </c>
      <c r="L186" s="4">
        <v>11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7" spans="1:23" x14ac:dyDescent="0.2">
      <c r="A187" s="4">
        <v>50</v>
      </c>
      <c r="B187" s="4">
        <v>0</v>
      </c>
      <c r="C187" s="4">
        <v>0</v>
      </c>
      <c r="D187" s="4">
        <v>1</v>
      </c>
      <c r="E187" s="4">
        <v>231</v>
      </c>
      <c r="F187" s="4">
        <f>ROUND(Source!BB174,O187)</f>
        <v>0</v>
      </c>
      <c r="G187" s="4" t="s">
        <v>76</v>
      </c>
      <c r="H187" s="4" t="s">
        <v>77</v>
      </c>
      <c r="I187" s="4"/>
      <c r="J187" s="4"/>
      <c r="K187" s="4">
        <v>231</v>
      </c>
      <c r="L187" s="4">
        <v>12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/>
    </row>
    <row r="188" spans="1:23" x14ac:dyDescent="0.2">
      <c r="A188" s="4">
        <v>50</v>
      </c>
      <c r="B188" s="4">
        <v>0</v>
      </c>
      <c r="C188" s="4">
        <v>0</v>
      </c>
      <c r="D188" s="4">
        <v>1</v>
      </c>
      <c r="E188" s="4">
        <v>204</v>
      </c>
      <c r="F188" s="4">
        <f>ROUND(Source!R174,O188)</f>
        <v>6211.46</v>
      </c>
      <c r="G188" s="4" t="s">
        <v>78</v>
      </c>
      <c r="H188" s="4" t="s">
        <v>79</v>
      </c>
      <c r="I188" s="4"/>
      <c r="J188" s="4"/>
      <c r="K188" s="4">
        <v>204</v>
      </c>
      <c r="L188" s="4">
        <v>13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/>
    </row>
    <row r="189" spans="1:23" x14ac:dyDescent="0.2">
      <c r="A189" s="4">
        <v>50</v>
      </c>
      <c r="B189" s="4">
        <v>0</v>
      </c>
      <c r="C189" s="4">
        <v>0</v>
      </c>
      <c r="D189" s="4">
        <v>1</v>
      </c>
      <c r="E189" s="4">
        <v>205</v>
      </c>
      <c r="F189" s="4">
        <f>ROUND(Source!S174,O189)</f>
        <v>243877.6</v>
      </c>
      <c r="G189" s="4" t="s">
        <v>80</v>
      </c>
      <c r="H189" s="4" t="s">
        <v>81</v>
      </c>
      <c r="I189" s="4"/>
      <c r="J189" s="4"/>
      <c r="K189" s="4">
        <v>205</v>
      </c>
      <c r="L189" s="4">
        <v>14</v>
      </c>
      <c r="M189" s="4">
        <v>3</v>
      </c>
      <c r="N189" s="4" t="s">
        <v>3</v>
      </c>
      <c r="O189" s="4">
        <v>2</v>
      </c>
      <c r="P189" s="4"/>
      <c r="Q189" s="4"/>
      <c r="R189" s="4"/>
      <c r="S189" s="4"/>
      <c r="T189" s="4"/>
      <c r="U189" s="4"/>
      <c r="V189" s="4"/>
      <c r="W189" s="4"/>
    </row>
    <row r="190" spans="1:23" x14ac:dyDescent="0.2">
      <c r="A190" s="4">
        <v>50</v>
      </c>
      <c r="B190" s="4">
        <v>0</v>
      </c>
      <c r="C190" s="4">
        <v>0</v>
      </c>
      <c r="D190" s="4">
        <v>1</v>
      </c>
      <c r="E190" s="4">
        <v>232</v>
      </c>
      <c r="F190" s="4">
        <f>ROUND(Source!BC174,O190)</f>
        <v>0</v>
      </c>
      <c r="G190" s="4" t="s">
        <v>82</v>
      </c>
      <c r="H190" s="4" t="s">
        <v>83</v>
      </c>
      <c r="I190" s="4"/>
      <c r="J190" s="4"/>
      <c r="K190" s="4">
        <v>232</v>
      </c>
      <c r="L190" s="4">
        <v>15</v>
      </c>
      <c r="M190" s="4">
        <v>3</v>
      </c>
      <c r="N190" s="4" t="s">
        <v>3</v>
      </c>
      <c r="O190" s="4">
        <v>2</v>
      </c>
      <c r="P190" s="4"/>
      <c r="Q190" s="4"/>
      <c r="R190" s="4"/>
      <c r="S190" s="4"/>
      <c r="T190" s="4"/>
      <c r="U190" s="4"/>
      <c r="V190" s="4"/>
      <c r="W190" s="4"/>
    </row>
    <row r="191" spans="1:23" x14ac:dyDescent="0.2">
      <c r="A191" s="4">
        <v>50</v>
      </c>
      <c r="B191" s="4">
        <v>0</v>
      </c>
      <c r="C191" s="4">
        <v>0</v>
      </c>
      <c r="D191" s="4">
        <v>1</v>
      </c>
      <c r="E191" s="4">
        <v>214</v>
      </c>
      <c r="F191" s="4">
        <f>ROUND(Source!AS174,O191)</f>
        <v>634413.36</v>
      </c>
      <c r="G191" s="4" t="s">
        <v>84</v>
      </c>
      <c r="H191" s="4" t="s">
        <v>85</v>
      </c>
      <c r="I191" s="4"/>
      <c r="J191" s="4"/>
      <c r="K191" s="4">
        <v>214</v>
      </c>
      <c r="L191" s="4">
        <v>16</v>
      </c>
      <c r="M191" s="4">
        <v>3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/>
    </row>
    <row r="192" spans="1:23" x14ac:dyDescent="0.2">
      <c r="A192" s="4">
        <v>50</v>
      </c>
      <c r="B192" s="4">
        <v>0</v>
      </c>
      <c r="C192" s="4">
        <v>0</v>
      </c>
      <c r="D192" s="4">
        <v>1</v>
      </c>
      <c r="E192" s="4">
        <v>215</v>
      </c>
      <c r="F192" s="4">
        <f>ROUND(Source!AT174,O192)</f>
        <v>400477.84</v>
      </c>
      <c r="G192" s="4" t="s">
        <v>86</v>
      </c>
      <c r="H192" s="4" t="s">
        <v>87</v>
      </c>
      <c r="I192" s="4"/>
      <c r="J192" s="4"/>
      <c r="K192" s="4">
        <v>215</v>
      </c>
      <c r="L192" s="4">
        <v>17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3" x14ac:dyDescent="0.2">
      <c r="A193" s="4">
        <v>50</v>
      </c>
      <c r="B193" s="4">
        <v>0</v>
      </c>
      <c r="C193" s="4">
        <v>0</v>
      </c>
      <c r="D193" s="4">
        <v>1</v>
      </c>
      <c r="E193" s="4">
        <v>217</v>
      </c>
      <c r="F193" s="4">
        <f>ROUND(Source!AU174,O193)</f>
        <v>170114.96</v>
      </c>
      <c r="G193" s="4" t="s">
        <v>88</v>
      </c>
      <c r="H193" s="4" t="s">
        <v>89</v>
      </c>
      <c r="I193" s="4"/>
      <c r="J193" s="4"/>
      <c r="K193" s="4">
        <v>217</v>
      </c>
      <c r="L193" s="4">
        <v>18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 x14ac:dyDescent="0.2">
      <c r="A194" s="4">
        <v>50</v>
      </c>
      <c r="B194" s="4">
        <v>0</v>
      </c>
      <c r="C194" s="4">
        <v>0</v>
      </c>
      <c r="D194" s="4">
        <v>1</v>
      </c>
      <c r="E194" s="4">
        <v>230</v>
      </c>
      <c r="F194" s="4">
        <f>ROUND(Source!BA174,O194)</f>
        <v>0</v>
      </c>
      <c r="G194" s="4" t="s">
        <v>90</v>
      </c>
      <c r="H194" s="4" t="s">
        <v>91</v>
      </c>
      <c r="I194" s="4"/>
      <c r="J194" s="4"/>
      <c r="K194" s="4">
        <v>230</v>
      </c>
      <c r="L194" s="4">
        <v>19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 x14ac:dyDescent="0.2">
      <c r="A195" s="4">
        <v>50</v>
      </c>
      <c r="B195" s="4">
        <v>0</v>
      </c>
      <c r="C195" s="4">
        <v>0</v>
      </c>
      <c r="D195" s="4">
        <v>1</v>
      </c>
      <c r="E195" s="4">
        <v>206</v>
      </c>
      <c r="F195" s="4">
        <f>ROUND(Source!T174,O195)</f>
        <v>0</v>
      </c>
      <c r="G195" s="4" t="s">
        <v>92</v>
      </c>
      <c r="H195" s="4" t="s">
        <v>93</v>
      </c>
      <c r="I195" s="4"/>
      <c r="J195" s="4"/>
      <c r="K195" s="4">
        <v>206</v>
      </c>
      <c r="L195" s="4">
        <v>20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 x14ac:dyDescent="0.2">
      <c r="A196" s="4">
        <v>50</v>
      </c>
      <c r="B196" s="4">
        <v>0</v>
      </c>
      <c r="C196" s="4">
        <v>0</v>
      </c>
      <c r="D196" s="4">
        <v>1</v>
      </c>
      <c r="E196" s="4">
        <v>207</v>
      </c>
      <c r="F196" s="4">
        <f>Source!U174</f>
        <v>728.24791919999996</v>
      </c>
      <c r="G196" s="4" t="s">
        <v>94</v>
      </c>
      <c r="H196" s="4" t="s">
        <v>95</v>
      </c>
      <c r="I196" s="4"/>
      <c r="J196" s="4"/>
      <c r="K196" s="4">
        <v>207</v>
      </c>
      <c r="L196" s="4">
        <v>21</v>
      </c>
      <c r="M196" s="4">
        <v>3</v>
      </c>
      <c r="N196" s="4" t="s">
        <v>3</v>
      </c>
      <c r="O196" s="4">
        <v>-1</v>
      </c>
      <c r="P196" s="4"/>
      <c r="Q196" s="4"/>
      <c r="R196" s="4"/>
      <c r="S196" s="4"/>
      <c r="T196" s="4"/>
      <c r="U196" s="4"/>
      <c r="V196" s="4"/>
      <c r="W196" s="4"/>
    </row>
    <row r="197" spans="1:23" x14ac:dyDescent="0.2">
      <c r="A197" s="4">
        <v>50</v>
      </c>
      <c r="B197" s="4">
        <v>0</v>
      </c>
      <c r="C197" s="4">
        <v>0</v>
      </c>
      <c r="D197" s="4">
        <v>1</v>
      </c>
      <c r="E197" s="4">
        <v>208</v>
      </c>
      <c r="F197" s="4">
        <f>Source!V174</f>
        <v>0</v>
      </c>
      <c r="G197" s="4" t="s">
        <v>96</v>
      </c>
      <c r="H197" s="4" t="s">
        <v>97</v>
      </c>
      <c r="I197" s="4"/>
      <c r="J197" s="4"/>
      <c r="K197" s="4">
        <v>208</v>
      </c>
      <c r="L197" s="4">
        <v>22</v>
      </c>
      <c r="M197" s="4">
        <v>3</v>
      </c>
      <c r="N197" s="4" t="s">
        <v>3</v>
      </c>
      <c r="O197" s="4">
        <v>-1</v>
      </c>
      <c r="P197" s="4"/>
      <c r="Q197" s="4"/>
      <c r="R197" s="4"/>
      <c r="S197" s="4"/>
      <c r="T197" s="4"/>
      <c r="U197" s="4"/>
      <c r="V197" s="4"/>
      <c r="W197" s="4"/>
    </row>
    <row r="198" spans="1:23" x14ac:dyDescent="0.2">
      <c r="A198" s="4">
        <v>50</v>
      </c>
      <c r="B198" s="4">
        <v>0</v>
      </c>
      <c r="C198" s="4">
        <v>0</v>
      </c>
      <c r="D198" s="4">
        <v>1</v>
      </c>
      <c r="E198" s="4">
        <v>209</v>
      </c>
      <c r="F198" s="4">
        <f>ROUND(Source!W174,O198)</f>
        <v>0</v>
      </c>
      <c r="G198" s="4" t="s">
        <v>98</v>
      </c>
      <c r="H198" s="4" t="s">
        <v>99</v>
      </c>
      <c r="I198" s="4"/>
      <c r="J198" s="4"/>
      <c r="K198" s="4">
        <v>209</v>
      </c>
      <c r="L198" s="4">
        <v>23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 x14ac:dyDescent="0.2">
      <c r="A199" s="4">
        <v>50</v>
      </c>
      <c r="B199" s="4">
        <v>0</v>
      </c>
      <c r="C199" s="4">
        <v>0</v>
      </c>
      <c r="D199" s="4">
        <v>1</v>
      </c>
      <c r="E199" s="4">
        <v>233</v>
      </c>
      <c r="F199" s="4">
        <f>ROUND(Source!BD174,O199)</f>
        <v>0</v>
      </c>
      <c r="G199" s="4" t="s">
        <v>100</v>
      </c>
      <c r="H199" s="4" t="s">
        <v>101</v>
      </c>
      <c r="I199" s="4"/>
      <c r="J199" s="4"/>
      <c r="K199" s="4">
        <v>233</v>
      </c>
      <c r="L199" s="4">
        <v>24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 x14ac:dyDescent="0.2">
      <c r="A200" s="4">
        <v>50</v>
      </c>
      <c r="B200" s="4">
        <v>0</v>
      </c>
      <c r="C200" s="4">
        <v>0</v>
      </c>
      <c r="D200" s="4">
        <v>1</v>
      </c>
      <c r="E200" s="4">
        <v>210</v>
      </c>
      <c r="F200" s="4">
        <f>ROUND(Source!X174,O200)</f>
        <v>180460.23</v>
      </c>
      <c r="G200" s="4" t="s">
        <v>102</v>
      </c>
      <c r="H200" s="4" t="s">
        <v>103</v>
      </c>
      <c r="I200" s="4"/>
      <c r="J200" s="4"/>
      <c r="K200" s="4">
        <v>210</v>
      </c>
      <c r="L200" s="4">
        <v>25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 x14ac:dyDescent="0.2">
      <c r="A201" s="4">
        <v>50</v>
      </c>
      <c r="B201" s="4">
        <v>0</v>
      </c>
      <c r="C201" s="4">
        <v>0</v>
      </c>
      <c r="D201" s="4">
        <v>1</v>
      </c>
      <c r="E201" s="4">
        <v>211</v>
      </c>
      <c r="F201" s="4">
        <f>ROUND(Source!Y174,O201)</f>
        <v>99989.83</v>
      </c>
      <c r="G201" s="4" t="s">
        <v>104</v>
      </c>
      <c r="H201" s="4" t="s">
        <v>105</v>
      </c>
      <c r="I201" s="4"/>
      <c r="J201" s="4"/>
      <c r="K201" s="4">
        <v>211</v>
      </c>
      <c r="L201" s="4">
        <v>26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 x14ac:dyDescent="0.2">
      <c r="A202" s="4">
        <v>50</v>
      </c>
      <c r="B202" s="4">
        <v>0</v>
      </c>
      <c r="C202" s="4">
        <v>0</v>
      </c>
      <c r="D202" s="4">
        <v>1</v>
      </c>
      <c r="E202" s="4">
        <v>224</v>
      </c>
      <c r="F202" s="4">
        <f>ROUND(Source!AR174,O202)</f>
        <v>1205006.1599999999</v>
      </c>
      <c r="G202" s="4" t="s">
        <v>106</v>
      </c>
      <c r="H202" s="4" t="s">
        <v>107</v>
      </c>
      <c r="I202" s="4"/>
      <c r="J202" s="4"/>
      <c r="K202" s="4">
        <v>224</v>
      </c>
      <c r="L202" s="4">
        <v>27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 x14ac:dyDescent="0.2">
      <c r="A203" s="4">
        <v>50</v>
      </c>
      <c r="B203" s="4">
        <v>1</v>
      </c>
      <c r="C203" s="4">
        <v>0</v>
      </c>
      <c r="D203" s="4">
        <v>2</v>
      </c>
      <c r="E203" s="4">
        <v>0</v>
      </c>
      <c r="F203" s="4">
        <f>ROUND(F202,O203)</f>
        <v>1205006.1599999999</v>
      </c>
      <c r="G203" s="4" t="s">
        <v>161</v>
      </c>
      <c r="H203" s="4" t="s">
        <v>161</v>
      </c>
      <c r="I203" s="4"/>
      <c r="J203" s="4"/>
      <c r="K203" s="4">
        <v>212</v>
      </c>
      <c r="L203" s="4">
        <v>28</v>
      </c>
      <c r="M203" s="4">
        <v>0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3" x14ac:dyDescent="0.2">
      <c r="A204" s="4">
        <v>50</v>
      </c>
      <c r="B204" s="4">
        <v>1</v>
      </c>
      <c r="C204" s="4">
        <v>0</v>
      </c>
      <c r="D204" s="4">
        <v>2</v>
      </c>
      <c r="E204" s="4">
        <v>0</v>
      </c>
      <c r="F204" s="4">
        <f>ROUND(F203*0.2,O204)</f>
        <v>241001.23</v>
      </c>
      <c r="G204" s="4" t="s">
        <v>162</v>
      </c>
      <c r="H204" s="4" t="s">
        <v>163</v>
      </c>
      <c r="I204" s="4"/>
      <c r="J204" s="4"/>
      <c r="K204" s="4">
        <v>212</v>
      </c>
      <c r="L204" s="4">
        <v>29</v>
      </c>
      <c r="M204" s="4">
        <v>0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 x14ac:dyDescent="0.2">
      <c r="A205" s="4">
        <v>50</v>
      </c>
      <c r="B205" s="4">
        <v>1</v>
      </c>
      <c r="C205" s="4">
        <v>0</v>
      </c>
      <c r="D205" s="4">
        <v>2</v>
      </c>
      <c r="E205" s="4">
        <v>213</v>
      </c>
      <c r="F205" s="4">
        <f>ROUND(ROUND(F203+F204,2),O205)</f>
        <v>1446007.39</v>
      </c>
      <c r="G205" s="4" t="s">
        <v>164</v>
      </c>
      <c r="H205" s="4" t="s">
        <v>164</v>
      </c>
      <c r="I205" s="4"/>
      <c r="J205" s="4"/>
      <c r="K205" s="4">
        <v>212</v>
      </c>
      <c r="L205" s="4">
        <v>30</v>
      </c>
      <c r="M205" s="4">
        <v>0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8" spans="1:23" x14ac:dyDescent="0.2">
      <c r="A208">
        <v>-1</v>
      </c>
    </row>
    <row r="210" spans="1:40" x14ac:dyDescent="0.2">
      <c r="A210" s="3">
        <v>75</v>
      </c>
      <c r="B210" s="3" t="s">
        <v>165</v>
      </c>
      <c r="C210" s="3">
        <v>2020</v>
      </c>
      <c r="D210" s="3">
        <v>0</v>
      </c>
      <c r="E210" s="3">
        <v>12</v>
      </c>
      <c r="F210" s="3"/>
      <c r="G210" s="3">
        <v>0</v>
      </c>
      <c r="H210" s="3">
        <v>2</v>
      </c>
      <c r="I210" s="3">
        <v>1</v>
      </c>
      <c r="J210" s="3">
        <v>1</v>
      </c>
      <c r="K210" s="3">
        <v>93</v>
      </c>
      <c r="L210" s="3">
        <v>64</v>
      </c>
      <c r="M210" s="3">
        <v>0</v>
      </c>
      <c r="N210" s="3">
        <v>23646166</v>
      </c>
      <c r="O210" s="3">
        <v>1</v>
      </c>
    </row>
    <row r="211" spans="1:40" x14ac:dyDescent="0.2">
      <c r="A211" s="5">
        <v>1</v>
      </c>
      <c r="B211" s="5" t="s">
        <v>166</v>
      </c>
      <c r="C211" s="5" t="s">
        <v>167</v>
      </c>
      <c r="D211" s="5">
        <v>2020</v>
      </c>
      <c r="E211" s="5">
        <v>12</v>
      </c>
      <c r="F211" s="5">
        <v>1</v>
      </c>
      <c r="G211" s="5">
        <v>1</v>
      </c>
      <c r="H211" s="5">
        <v>0</v>
      </c>
      <c r="I211" s="5">
        <v>2</v>
      </c>
      <c r="J211" s="5">
        <v>1</v>
      </c>
      <c r="K211" s="5">
        <v>1</v>
      </c>
      <c r="L211" s="5">
        <v>1</v>
      </c>
      <c r="M211" s="5">
        <v>1</v>
      </c>
      <c r="N211" s="5">
        <v>1</v>
      </c>
      <c r="O211" s="5">
        <v>1</v>
      </c>
      <c r="P211" s="5">
        <v>1</v>
      </c>
      <c r="Q211" s="5">
        <v>1</v>
      </c>
      <c r="R211" s="5" t="s">
        <v>3</v>
      </c>
      <c r="S211" s="5" t="s">
        <v>3</v>
      </c>
      <c r="T211" s="5" t="s">
        <v>3</v>
      </c>
      <c r="U211" s="5" t="s">
        <v>3</v>
      </c>
      <c r="V211" s="5" t="s">
        <v>3</v>
      </c>
      <c r="W211" s="5" t="s">
        <v>3</v>
      </c>
      <c r="X211" s="5" t="s">
        <v>3</v>
      </c>
      <c r="Y211" s="5" t="s">
        <v>3</v>
      </c>
      <c r="Z211" s="5" t="s">
        <v>3</v>
      </c>
      <c r="AA211" s="5" t="s">
        <v>168</v>
      </c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>
        <v>23646167</v>
      </c>
    </row>
    <row r="215" spans="1:40" x14ac:dyDescent="0.2">
      <c r="A215">
        <v>65</v>
      </c>
      <c r="C215">
        <v>1</v>
      </c>
      <c r="D215">
        <v>0</v>
      </c>
      <c r="E21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169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54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23646166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19</v>
      </c>
      <c r="D16" s="6" t="s">
        <v>20</v>
      </c>
      <c r="E16" s="7">
        <f>(Source!F161)/1000</f>
        <v>634.41336000000001</v>
      </c>
      <c r="F16" s="7">
        <f>(Source!F162)/1000</f>
        <v>400.47784000000001</v>
      </c>
      <c r="G16" s="7">
        <f>(Source!F153)/1000</f>
        <v>0</v>
      </c>
      <c r="H16" s="7">
        <f>(Source!F163)/1000+(Source!F164)/1000</f>
        <v>170.11496</v>
      </c>
      <c r="I16" s="7">
        <f>E16+F16+G16+H16</f>
        <v>1205.0061599999999</v>
      </c>
      <c r="J16" s="7">
        <f>(Source!F159)/1000</f>
        <v>243.8776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914804.12</v>
      </c>
      <c r="AU16" s="7">
        <v>658486.76</v>
      </c>
      <c r="AV16" s="7">
        <v>0</v>
      </c>
      <c r="AW16" s="7">
        <v>0</v>
      </c>
      <c r="AX16" s="7">
        <v>0</v>
      </c>
      <c r="AY16" s="7">
        <v>12439.76</v>
      </c>
      <c r="AZ16" s="7">
        <v>6211.46</v>
      </c>
      <c r="BA16" s="7">
        <v>243877.6</v>
      </c>
      <c r="BB16" s="7">
        <v>634413.36</v>
      </c>
      <c r="BC16" s="7">
        <v>400477.84</v>
      </c>
      <c r="BD16" s="7">
        <v>170114.96</v>
      </c>
      <c r="BE16" s="7">
        <v>0</v>
      </c>
      <c r="BF16" s="7">
        <v>728.24791920000007</v>
      </c>
      <c r="BG16" s="7">
        <v>0</v>
      </c>
      <c r="BH16" s="7">
        <v>0</v>
      </c>
      <c r="BI16" s="7">
        <v>180460.23</v>
      </c>
      <c r="BJ16" s="7">
        <v>99989.83</v>
      </c>
      <c r="BK16" s="7">
        <v>1205006.1599999999</v>
      </c>
    </row>
    <row r="18" spans="1:19" x14ac:dyDescent="0.2">
      <c r="A18">
        <v>51</v>
      </c>
      <c r="E18" s="8">
        <f>SUMIF(A16:A17,3,E16:E17)</f>
        <v>634.41336000000001</v>
      </c>
      <c r="F18" s="8">
        <f>SUMIF(A16:A17,3,F16:F17)</f>
        <v>400.47784000000001</v>
      </c>
      <c r="G18" s="8">
        <f>SUMIF(A16:A17,3,G16:G17)</f>
        <v>0</v>
      </c>
      <c r="H18" s="8">
        <f>SUMIF(A16:A17,3,H16:H17)</f>
        <v>170.11496</v>
      </c>
      <c r="I18" s="8">
        <f>SUMIF(A16:A17,3,I16:I17)</f>
        <v>1205.0061599999999</v>
      </c>
      <c r="J18" s="8">
        <f>SUMIF(A16:A17,3,J16:J17)</f>
        <v>243.8776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914804.12</v>
      </c>
      <c r="G20" s="4" t="s">
        <v>54</v>
      </c>
      <c r="H20" s="4" t="s">
        <v>55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658486.76</v>
      </c>
      <c r="G21" s="4" t="s">
        <v>56</v>
      </c>
      <c r="H21" s="4" t="s">
        <v>57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58</v>
      </c>
      <c r="H22" s="4" t="s">
        <v>59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658486.76</v>
      </c>
      <c r="G23" s="4" t="s">
        <v>60</v>
      </c>
      <c r="H23" s="4" t="s">
        <v>61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658486.76</v>
      </c>
      <c r="G24" s="4" t="s">
        <v>62</v>
      </c>
      <c r="H24" s="4" t="s">
        <v>63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64</v>
      </c>
      <c r="H25" s="4" t="s">
        <v>65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658486.76</v>
      </c>
      <c r="G26" s="4" t="s">
        <v>66</v>
      </c>
      <c r="H26" s="4" t="s">
        <v>67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68</v>
      </c>
      <c r="H27" s="4" t="s">
        <v>69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70</v>
      </c>
      <c r="H28" s="4" t="s">
        <v>71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72</v>
      </c>
      <c r="H29" s="4" t="s">
        <v>73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12439.76</v>
      </c>
      <c r="G30" s="4" t="s">
        <v>74</v>
      </c>
      <c r="H30" s="4" t="s">
        <v>75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76</v>
      </c>
      <c r="H31" s="4" t="s">
        <v>77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6211.46</v>
      </c>
      <c r="G32" s="4" t="s">
        <v>78</v>
      </c>
      <c r="H32" s="4" t="s">
        <v>79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243877.6</v>
      </c>
      <c r="G33" s="4" t="s">
        <v>80</v>
      </c>
      <c r="H33" s="4" t="s">
        <v>81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82</v>
      </c>
      <c r="H34" s="4" t="s">
        <v>83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634413.36</v>
      </c>
      <c r="G35" s="4" t="s">
        <v>84</v>
      </c>
      <c r="H35" s="4" t="s">
        <v>85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400477.84</v>
      </c>
      <c r="G36" s="4" t="s">
        <v>86</v>
      </c>
      <c r="H36" s="4" t="s">
        <v>87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170114.96</v>
      </c>
      <c r="G37" s="4" t="s">
        <v>88</v>
      </c>
      <c r="H37" s="4" t="s">
        <v>89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90</v>
      </c>
      <c r="H38" s="4" t="s">
        <v>91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92</v>
      </c>
      <c r="H39" s="4" t="s">
        <v>93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728.24791920000007</v>
      </c>
      <c r="G40" s="4" t="s">
        <v>94</v>
      </c>
      <c r="H40" s="4" t="s">
        <v>95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96</v>
      </c>
      <c r="H41" s="4" t="s">
        <v>97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98</v>
      </c>
      <c r="H42" s="4" t="s">
        <v>99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100</v>
      </c>
      <c r="H43" s="4" t="s">
        <v>101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180460.23</v>
      </c>
      <c r="G44" s="4" t="s">
        <v>102</v>
      </c>
      <c r="H44" s="4" t="s">
        <v>103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99989.83</v>
      </c>
      <c r="G45" s="4" t="s">
        <v>104</v>
      </c>
      <c r="H45" s="4" t="s">
        <v>105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1205006.1599999999</v>
      </c>
      <c r="G46" s="4" t="s">
        <v>106</v>
      </c>
      <c r="H46" s="4" t="s">
        <v>107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1205006.1599999999</v>
      </c>
      <c r="G47" s="4" t="s">
        <v>161</v>
      </c>
      <c r="H47" s="4" t="s">
        <v>161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241001.23</v>
      </c>
      <c r="G48" s="4" t="s">
        <v>162</v>
      </c>
      <c r="H48" s="4" t="s">
        <v>163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40" x14ac:dyDescent="0.2">
      <c r="A49" s="4">
        <v>50</v>
      </c>
      <c r="B49" s="4">
        <v>1</v>
      </c>
      <c r="C49" s="4">
        <v>0</v>
      </c>
      <c r="D49" s="4">
        <v>2</v>
      </c>
      <c r="E49" s="4">
        <v>213</v>
      </c>
      <c r="F49" s="4">
        <v>1446007.39</v>
      </c>
      <c r="G49" s="4" t="s">
        <v>164</v>
      </c>
      <c r="H49" s="4" t="s">
        <v>164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1" spans="1:40" x14ac:dyDescent="0.2">
      <c r="A51">
        <v>-1</v>
      </c>
    </row>
    <row r="54" spans="1:40" x14ac:dyDescent="0.2">
      <c r="A54" s="3">
        <v>75</v>
      </c>
      <c r="B54" s="3" t="s">
        <v>165</v>
      </c>
      <c r="C54" s="3">
        <v>2020</v>
      </c>
      <c r="D54" s="3">
        <v>0</v>
      </c>
      <c r="E54" s="3">
        <v>12</v>
      </c>
      <c r="F54" s="3"/>
      <c r="G54" s="3">
        <v>0</v>
      </c>
      <c r="H54" s="3">
        <v>2</v>
      </c>
      <c r="I54" s="3">
        <v>1</v>
      </c>
      <c r="J54" s="3">
        <v>1</v>
      </c>
      <c r="K54" s="3">
        <v>93</v>
      </c>
      <c r="L54" s="3">
        <v>64</v>
      </c>
      <c r="M54" s="3">
        <v>0</v>
      </c>
      <c r="N54" s="3">
        <v>23646166</v>
      </c>
      <c r="O54" s="3">
        <v>1</v>
      </c>
    </row>
    <row r="55" spans="1:40" x14ac:dyDescent="0.2">
      <c r="A55" s="5">
        <v>1</v>
      </c>
      <c r="B55" s="5" t="s">
        <v>166</v>
      </c>
      <c r="C55" s="5" t="s">
        <v>167</v>
      </c>
      <c r="D55" s="5">
        <v>2020</v>
      </c>
      <c r="E55" s="5">
        <v>12</v>
      </c>
      <c r="F55" s="5">
        <v>1</v>
      </c>
      <c r="G55" s="5">
        <v>1</v>
      </c>
      <c r="H55" s="5">
        <v>0</v>
      </c>
      <c r="I55" s="5">
        <v>2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 t="s">
        <v>3</v>
      </c>
      <c r="S55" s="5" t="s">
        <v>3</v>
      </c>
      <c r="T55" s="5" t="s">
        <v>3</v>
      </c>
      <c r="U55" s="5" t="s">
        <v>3</v>
      </c>
      <c r="V55" s="5" t="s">
        <v>3</v>
      </c>
      <c r="W55" s="5" t="s">
        <v>3</v>
      </c>
      <c r="X55" s="5" t="s">
        <v>3</v>
      </c>
      <c r="Y55" s="5" t="s">
        <v>3</v>
      </c>
      <c r="Z55" s="5" t="s">
        <v>3</v>
      </c>
      <c r="AA55" s="5" t="s">
        <v>168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>
        <v>23646167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2021-08-19T13:08:37Z</dcterms:created>
  <dcterms:modified xsi:type="dcterms:W3CDTF">2021-08-19T13:13:02Z</dcterms:modified>
</cp:coreProperties>
</file>